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720" windowWidth="12120" windowHeight="8100" tabRatio="920" activeTab="0"/>
  </bookViews>
  <sheets>
    <sheet name="Planilha Orçamentaria" sheetId="1" r:id="rId1"/>
    <sheet name="Cronograma" sheetId="2" r:id="rId2"/>
    <sheet name="Memoria de Calculo" sheetId="3" r:id="rId3"/>
  </sheets>
  <definedNames>
    <definedName name="_xlnm.Print_Area" localSheetId="1">'Cronograma'!$A$1:$N$33</definedName>
    <definedName name="_xlnm.Print_Area" localSheetId="2">'Memoria de Calculo'!$A$6:$F$71</definedName>
    <definedName name="_xlnm.Print_Area" localSheetId="0">'Planilha Orçamentaria'!$A$1:$H$50</definedName>
    <definedName name="_xlnm.Print_Titles" localSheetId="2">'Memoria de Calculo'!$1:$9</definedName>
    <definedName name="_xlnm.Print_Titles" localSheetId="0">'Planilha Orçamentaria'!$1:$11</definedName>
  </definedNames>
  <calcPr fullCalcOnLoad="1"/>
</workbook>
</file>

<file path=xl/sharedStrings.xml><?xml version="1.0" encoding="utf-8"?>
<sst xmlns="http://schemas.openxmlformats.org/spreadsheetml/2006/main" count="292" uniqueCount="166">
  <si>
    <t>m</t>
  </si>
  <si>
    <t>ITEM</t>
  </si>
  <si>
    <t xml:space="preserve">SERVIÇOS PRELIMINARES </t>
  </si>
  <si>
    <t>1.1</t>
  </si>
  <si>
    <t>m²</t>
  </si>
  <si>
    <t>1.2</t>
  </si>
  <si>
    <t>Sub-total 1</t>
  </si>
  <si>
    <t>Sub-total 2</t>
  </si>
  <si>
    <t>SERVIÇOS PREVISTOS</t>
  </si>
  <si>
    <t>UNID</t>
  </si>
  <si>
    <t>QUANT</t>
  </si>
  <si>
    <t>CRONOGRAMA FÍSICO FINANCEIRO</t>
  </si>
  <si>
    <t>ÍTEM</t>
  </si>
  <si>
    <t>SERVIÇOS PRELIMINARES</t>
  </si>
  <si>
    <t>TOTAL SIMPLES</t>
  </si>
  <si>
    <t>TOTAL ACUMULADO</t>
  </si>
  <si>
    <t>mês</t>
  </si>
  <si>
    <t>DISCRIMINAÇÃO DOS SERVIÇOS</t>
  </si>
  <si>
    <t xml:space="preserve">Equipe topográfica para serviços simples de locação e nivelamento (incluindo equipamento, transporte e profissionais nível médio) </t>
  </si>
  <si>
    <t>CÓDIGO</t>
  </si>
  <si>
    <t>DESCRIÇÃO</t>
  </si>
  <si>
    <t>Placa de obra nas dimensões de 2.0 x 4.0 m, padrão SEDURB</t>
  </si>
  <si>
    <t>m³</t>
  </si>
  <si>
    <t>QUANT.</t>
  </si>
  <si>
    <t>PLANILHA ORÇAMENTÁRIA</t>
  </si>
  <si>
    <r>
      <t xml:space="preserve">PROPRIETARIO : </t>
    </r>
    <r>
      <rPr>
        <sz val="12"/>
        <rFont val="Arial"/>
        <family val="2"/>
      </rPr>
      <t>PREFEITURA MUNICIPAL DE ÁGUIA BRANCA</t>
    </r>
  </si>
  <si>
    <t>Sub-total 3</t>
  </si>
  <si>
    <t>TOTAL PARCIAL</t>
  </si>
  <si>
    <t>TOTAL FINAL</t>
  </si>
  <si>
    <t>2.1</t>
  </si>
  <si>
    <t>2.2</t>
  </si>
  <si>
    <t>4º MÊS</t>
  </si>
  <si>
    <t>PAVIMENTAÇÃO</t>
  </si>
  <si>
    <t>010512/IOPES</t>
  </si>
  <si>
    <t>1.3</t>
  </si>
  <si>
    <t>41580/DER</t>
  </si>
  <si>
    <t>Aluguel de container tipo sanitário com 3 vasos sanitários, lavatório, mictório, 5 chuveiros, 2 venezianas e piso especial</t>
  </si>
  <si>
    <t>MOVIMENTAÇÃO DE TERRA</t>
  </si>
  <si>
    <t>PMAG</t>
  </si>
  <si>
    <t>PRAZO DE EXECUÇÃO</t>
  </si>
  <si>
    <t>3.1</t>
  </si>
  <si>
    <t>3.2</t>
  </si>
  <si>
    <t>3.3</t>
  </si>
  <si>
    <t>4.1</t>
  </si>
  <si>
    <t>4.2</t>
  </si>
  <si>
    <t>4.3</t>
  </si>
  <si>
    <t>Sub-total 4</t>
  </si>
  <si>
    <t>4.4</t>
  </si>
  <si>
    <t>und</t>
  </si>
  <si>
    <t>A</t>
  </si>
  <si>
    <t>DRENAGEM E PAVIMENTAÇÃO</t>
  </si>
  <si>
    <t>DRENAGEM - MATERIAL</t>
  </si>
  <si>
    <t>DRENAGEM PLUVIAL</t>
  </si>
  <si>
    <t>40421/ DER</t>
  </si>
  <si>
    <t>Corpo BSTC (greide) diâmetro 0,30 m CA-1 MF inclusive escavação, reaterro e transporte do tubo</t>
  </si>
  <si>
    <t>41241/ DER</t>
  </si>
  <si>
    <t>Caixa ralo em blocos pré-moldados e grelha articulada em FFA em Vias Urbanas</t>
  </si>
  <si>
    <t>TOTAL GERAL DA PLANILHA</t>
  </si>
  <si>
    <t>1.4</t>
  </si>
  <si>
    <t>Travesão:</t>
  </si>
  <si>
    <t>Rua Projetada 09</t>
  </si>
  <si>
    <t>Meio fio:</t>
  </si>
  <si>
    <t>Rua Projetada 11</t>
  </si>
  <si>
    <t>Rua Projetada 07</t>
  </si>
  <si>
    <t>Rua Projetada 08</t>
  </si>
  <si>
    <t>1.5</t>
  </si>
  <si>
    <t>1.6</t>
  </si>
  <si>
    <t>Escarificação e compactação de base (100% P.I.) H-&gt;0,20m</t>
  </si>
  <si>
    <t>Mobilização e desmobilização de container de 51 km até 150 km</t>
  </si>
  <si>
    <t>Escavação mecânica, para preparo da caixa de rua, conforme projeto</t>
  </si>
  <si>
    <t>2.3</t>
  </si>
  <si>
    <t>Carga, descarga e bota-fora de material proveniente de escavações</t>
  </si>
  <si>
    <t>DRENAGEM</t>
  </si>
  <si>
    <t>5º MÊS</t>
  </si>
  <si>
    <t>6º MÊS</t>
  </si>
  <si>
    <t>7º MÊS</t>
  </si>
  <si>
    <t>8º MÊS</t>
  </si>
  <si>
    <t>9º MÊS</t>
  </si>
  <si>
    <t>10º MÊS</t>
  </si>
  <si>
    <t>TOTAL</t>
  </si>
  <si>
    <t>MOVIMENTAÇÃO DE TERRA (Pavimentação/Dren.)</t>
  </si>
  <si>
    <t>Conforme Projeto</t>
  </si>
  <si>
    <t>CÁLCULO</t>
  </si>
  <si>
    <t>MEMÓRIA DE CALCULO</t>
  </si>
  <si>
    <t>41500/DER</t>
  </si>
  <si>
    <t>41496/DER</t>
  </si>
  <si>
    <t>Meio fio (remoção e reassentamento), inclusive caiação</t>
  </si>
  <si>
    <t>40895/DER</t>
  </si>
  <si>
    <t>Meio fio de concreto pré-moldado (12 x 30 x 15) cm, inclusive caiação e transporte do meio fio</t>
  </si>
  <si>
    <t>40663/DER</t>
  </si>
  <si>
    <t>Pavimentação com blocos de concreto (35 MPa), esp.= 08 cm, colchão areia esp.= 5cm,
inclusive fornecimento e transporte dos blocos e areia</t>
  </si>
  <si>
    <t>40884/DER</t>
  </si>
  <si>
    <t>Sarjeta de concreto SCA 40/10</t>
  </si>
  <si>
    <t>41180 / DER</t>
  </si>
  <si>
    <t>A1 = 2,00 x 4,00</t>
  </si>
  <si>
    <t>AV. Projetada 01</t>
  </si>
  <si>
    <t>C1 =                                                                                                                                                                                                                                                                 3,57+3,14+41,44+3,14+198,48+3,14+               43,14+3,14+3,14+43,29+3,14+18,48</t>
  </si>
  <si>
    <t>C2 = 7,50+7,50+26,80+18,94+22,24+7,50+7,50+15,72+7,50+7,50+8,25+24,20</t>
  </si>
  <si>
    <t>C3 = 8,00+8,50</t>
  </si>
  <si>
    <t>C4 = 8,00+22,31</t>
  </si>
  <si>
    <t>A5 = 1.119,42</t>
  </si>
  <si>
    <t>A6 = 1.066,01</t>
  </si>
  <si>
    <t>A8 = 293,29</t>
  </si>
  <si>
    <t>A9 = 502,14</t>
  </si>
  <si>
    <t>40431/ DER</t>
  </si>
  <si>
    <t>Corpo BSTC (greide) diâmetro 0,60 m CA-2 PB inclusive escavação, reaterro e transporte do tubo</t>
  </si>
  <si>
    <t>Poço de visita (tubo D=0,60 m) H=1,70 m com tampão F.F.A.P., inclusive escavação e
transporte do tampão, em Vias Urbanas</t>
  </si>
  <si>
    <t>43051/ DER</t>
  </si>
  <si>
    <t>UNITÁRIO C/ BDI 29,63%</t>
  </si>
  <si>
    <t xml:space="preserve">C1 = 64,65+64,65+45,76+91,52+56,94 </t>
  </si>
  <si>
    <t>Q1 = 5,00und</t>
  </si>
  <si>
    <t>Q1 = 12,00und</t>
  </si>
  <si>
    <t>Q1 = 4 x 14,00 = 56,00m</t>
  </si>
  <si>
    <t>Q1 = 4 x 2 x 8,00 = 64,00m</t>
  </si>
  <si>
    <t>OBRA : Pavimentação de Parte da Avenida Projetada 01, Ruas Projetada 07/08/11, Parte da Rua Projetada 09, e Drenagem de Parte da Avenida Projeta 01, Localizadas no Loteamento Mirante dos Pontões na Sede do Município de Águia Branca - ES.</t>
  </si>
  <si>
    <r>
      <t xml:space="preserve">PROPRIETARIO : </t>
    </r>
    <r>
      <rPr>
        <sz val="12"/>
        <rFont val="Arial"/>
        <family val="2"/>
      </rPr>
      <t>PREFEITURA MUNICIPAL DE ÁGUIA BRANCA/ES</t>
    </r>
  </si>
  <si>
    <t>VALOR DAS OBRAS  %</t>
  </si>
  <si>
    <t>CRONOGRAMA FÍSICO - FINANCEIRO</t>
  </si>
  <si>
    <t>OBRA : Pavimentação de Parte da Avenida Projetada 01, Ruas Projetada 07/08/11, Parte da Rua Projetada 09, e Drenagem de Parte da Avenida 01, Localizadas no Loteamento Mirante dos Pontões na Sede do Município de Águia Branca - ES.</t>
  </si>
  <si>
    <t>Suelen Cavalieri Bitencurt</t>
  </si>
  <si>
    <t>___________________________________</t>
  </si>
  <si>
    <t>Crea/ES: 042427/D</t>
  </si>
  <si>
    <t>1º MÊS - Processo Licitatório</t>
  </si>
  <si>
    <t>2º MÊS - Processo Licitatório</t>
  </si>
  <si>
    <t>3º MÊS - Processo Licitatório</t>
  </si>
  <si>
    <t>_____________________________________</t>
  </si>
  <si>
    <t>Aluguel de container p/ escritório com ar condicionado, isolamento term/acust., 2 luminárias, janela de vidro, tomadas computador e telefone</t>
  </si>
  <si>
    <t>41454/DER</t>
  </si>
  <si>
    <t xml:space="preserve">Aluguel de container tipo vestiário, 2 luminárias, piso especial e janela </t>
  </si>
  <si>
    <t>1.7</t>
  </si>
  <si>
    <t>1.8</t>
  </si>
  <si>
    <t>41501/DER</t>
  </si>
  <si>
    <t xml:space="preserve">Rede de água c/ padrão de entrada d'água diâm. 3/4" conf. CESAN, incl. tubos e conexões p/ aliment., distrib., extravas. e limp., cons. o padrão a 25m
</t>
  </si>
  <si>
    <t>1.9</t>
  </si>
  <si>
    <t>41499/DER</t>
  </si>
  <si>
    <t>41503/DER</t>
  </si>
  <si>
    <t>Rede de esgoto, contendo fossa e filtro, incl. tubos e conexões de ligação entre caixas, considerando distância de 25m</t>
  </si>
  <si>
    <t>Rede de luz, incl. padrão entr. energia trifás. cabo ligação até barracões, quadro distrib., disj. E  chave de força, cons. 20m entre padrão entr.e QDG</t>
  </si>
  <si>
    <t>C1= (3,57+198,48+18,48+100,64+39,60+7,72+10,41+5,29+33,92+6,26+13,40+42,04+97,92+16,16) + (3,14+41,44+3,14+3,14+43,14+3,14+3,14+43,29+3,14) + (3,30+98,03+98,03+3,30) + (3,30+41,11+41,11+3,30) + (56,55)</t>
  </si>
  <si>
    <t>C2 = (29,17+143,6+9,84+13,85+120,15+12,59+12,08)</t>
  </si>
  <si>
    <t>C3 = (50,59+10,84+85,88+7,72+56,05+106,68)</t>
  </si>
  <si>
    <t>C4 = (8,51+16,16+12,76+9,03+20,25+9,40)</t>
  </si>
  <si>
    <t>C5 = (34,59+32,63+36,57+13,11)</t>
  </si>
  <si>
    <t>41240 / DER</t>
  </si>
  <si>
    <t>3.4</t>
  </si>
  <si>
    <t>Passeio em concreto, largura 2,00m, acabamento em ladrilho hidráulico podotátil (L=0,40m)</t>
  </si>
  <si>
    <t xml:space="preserve">A1 = (3,57+217,02+100,64+39,6+7,72+13,4+42,04+6,67+10,93+97,92+17,35+29,79+15,28+14,87+33,0+12,58+12,57+35,01+14,92+26,71) = 751,59m x 2,50 = 1.878,98m²                                                                                                                                                                                                                                                        </t>
  </si>
  <si>
    <t>AV. Projetada 01 - L=2,50m / Rotatória - L=2,00m</t>
  </si>
  <si>
    <t>Rua Projetada 07 - L=2,50m</t>
  </si>
  <si>
    <t>Rua Projetada 08 - L=2,00m</t>
  </si>
  <si>
    <t>A3 = (29,17+143,6+9,84+13,85+120,15+12,59+12,08) = 341,28m x 2,50 = 853,20m²</t>
  </si>
  <si>
    <t>A2 - Rotatória = (56,55+10,41+5,29+33,92) = 106,17m x 2,00 = 212,34m²</t>
  </si>
  <si>
    <t>A4 = (50,59+10,84+85,88+7,72+56,05+106,68) = 317,76m x 2,00 = 635,52m²</t>
  </si>
  <si>
    <t>Rua Projetada 09 - L=2,00m</t>
  </si>
  <si>
    <t>Rua Projetada 11 - L=2,00m</t>
  </si>
  <si>
    <t>A5 = (35,63+32,63+38,88+13,14) = 120,28m x 2,00 = 240,56m²</t>
  </si>
  <si>
    <t>A6 = (12,76+16,16+8,51+9,40+20,25+9,03+6,26) = 82,37m x 2,00 = 164,74m²</t>
  </si>
  <si>
    <t>Importa o presente orçamento o valor total de ( Um milhão, quatrocentos e trinta e dois mil, novecentos e quarenta e três reais e vinte e três centavos)</t>
  </si>
  <si>
    <r>
      <t>REFERÊNCIAS : [( DER-ES - Departamento de Estradas de Rodagem do Estado do Espírito Santo - Tabela Referencial Janeiro 2018, com Desoneração ) - ( TABELA CUSTOS LABOR/CT-UFES PADRÃO IOPES JANEIRO/2018 - Usado o coeficiente de 0,9588 no BDI de 30,9%)] -</t>
    </r>
    <r>
      <rPr>
        <b/>
        <sz val="12"/>
        <color indexed="10"/>
        <rFont val="Arial"/>
        <family val="2"/>
      </rPr>
      <t xml:space="preserve"> BDI Adotado = 29,63%</t>
    </r>
  </si>
  <si>
    <t>A1+A2+A3+A4+A7= 1.481,77+312,01+1.344,29+1.067,48+1103,19</t>
  </si>
  <si>
    <t>Q1 = 10 DIAS ou 0,333 MESES</t>
  </si>
  <si>
    <t xml:space="preserve">Q1 = 1,00 + 1,00 </t>
  </si>
  <si>
    <t>Q1 = 8,00m</t>
  </si>
  <si>
    <t>Rua Projetada 01 = 30,43+20,12+02,12</t>
  </si>
  <si>
    <t>Q1 = 1,00 x 7meses</t>
  </si>
  <si>
    <t>Águia Branca – ES, 25 de Setembro de 2018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</si>
</sst>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[$€-2]\ #,##0.00_);[Red]\([$€-2]\ #,##0.00\)"/>
    <numFmt numFmtId="179" formatCode="00000"/>
    <numFmt numFmtId="180" formatCode="#,##0.000"/>
    <numFmt numFmtId="181" formatCode="&quot;Ativado&quot;;&quot;Ativado&quot;;&quot;Desativado&quot;"/>
    <numFmt numFmtId="182" formatCode="&quot;R$&quot;\ #,##0.00"/>
    <numFmt numFmtId="183" formatCode="_-[$R$-416]\ * #,##0.00_-;\-[$R$-416]\ * #,##0.00_-;_-[$R$-416]\ * &quot;-&quot;??_-;_-@_-"/>
  </numFmts>
  <fonts count="45">
    <font>
      <sz val="10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0" fontId="35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33" borderId="10" xfId="52" applyFont="1" applyFill="1" applyBorder="1" applyAlignment="1">
      <alignment horizontal="center" vertical="center"/>
      <protection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/>
    </xf>
    <xf numFmtId="4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justify"/>
    </xf>
    <xf numFmtId="4" fontId="5" fillId="0" borderId="0" xfId="0" applyNumberFormat="1" applyFont="1" applyAlignment="1">
      <alignment horizontal="justify" vertical="justify"/>
    </xf>
    <xf numFmtId="4" fontId="5" fillId="0" borderId="0" xfId="0" applyNumberFormat="1" applyFont="1" applyAlignment="1">
      <alignment horizontal="justify" vertical="center"/>
    </xf>
    <xf numFmtId="4" fontId="5" fillId="33" borderId="10" xfId="57" applyNumberFormat="1" applyFont="1" applyFill="1" applyBorder="1" applyAlignment="1">
      <alignment horizontal="center"/>
    </xf>
    <xf numFmtId="0" fontId="5" fillId="0" borderId="0" xfId="0" applyFont="1" applyBorder="1" applyAlignment="1">
      <alignment wrapText="1"/>
    </xf>
    <xf numFmtId="4" fontId="5" fillId="0" borderId="0" xfId="0" applyNumberFormat="1" applyFont="1" applyAlignment="1">
      <alignment horizontal="right"/>
    </xf>
    <xf numFmtId="0" fontId="5" fillId="33" borderId="10" xfId="52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vertical="justify" wrapText="1"/>
    </xf>
    <xf numFmtId="4" fontId="5" fillId="0" borderId="0" xfId="0" applyNumberFormat="1" applyFont="1" applyBorder="1" applyAlignment="1">
      <alignment wrapText="1"/>
    </xf>
    <xf numFmtId="0" fontId="4" fillId="34" borderId="10" xfId="0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center"/>
      <protection/>
    </xf>
    <xf numFmtId="4" fontId="5" fillId="35" borderId="10" xfId="0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left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justify"/>
    </xf>
    <xf numFmtId="4" fontId="5" fillId="0" borderId="0" xfId="0" applyNumberFormat="1" applyFont="1" applyBorder="1" applyAlignment="1">
      <alignment horizontal="center" vertical="center"/>
    </xf>
    <xf numFmtId="4" fontId="5" fillId="35" borderId="10" xfId="57" applyNumberFormat="1" applyFont="1" applyFill="1" applyBorder="1" applyAlignment="1">
      <alignment horizontal="left" vertical="center"/>
    </xf>
    <xf numFmtId="4" fontId="5" fillId="35" borderId="10" xfId="57" applyNumberFormat="1" applyFont="1" applyFill="1" applyBorder="1" applyAlignment="1">
      <alignment horizontal="left" vertical="center" wrapText="1"/>
    </xf>
    <xf numFmtId="4" fontId="5" fillId="35" borderId="10" xfId="57" applyNumberFormat="1" applyFont="1" applyFill="1" applyBorder="1" applyAlignment="1">
      <alignment horizontal="center"/>
    </xf>
    <xf numFmtId="10" fontId="4" fillId="33" borderId="10" xfId="57" applyNumberFormat="1" applyFont="1" applyFill="1" applyBorder="1" applyAlignment="1">
      <alignment horizontal="center"/>
    </xf>
    <xf numFmtId="10" fontId="5" fillId="36" borderId="10" xfId="57" applyNumberFormat="1" applyFont="1" applyFill="1" applyBorder="1" applyAlignment="1">
      <alignment horizontal="center"/>
    </xf>
    <xf numFmtId="4" fontId="5" fillId="0" borderId="10" xfId="57" applyNumberFormat="1" applyFont="1" applyFill="1" applyBorder="1" applyAlignment="1">
      <alignment horizontal="center"/>
    </xf>
    <xf numFmtId="0" fontId="5" fillId="35" borderId="10" xfId="52" applyFont="1" applyFill="1" applyBorder="1" applyAlignment="1">
      <alignment horizontal="center" vertical="center" wrapText="1"/>
      <protection/>
    </xf>
    <xf numFmtId="4" fontId="5" fillId="35" borderId="10" xfId="52" applyNumberFormat="1" applyFont="1" applyFill="1" applyBorder="1" applyAlignment="1">
      <alignment horizontal="center" vertical="center" wrapText="1"/>
      <protection/>
    </xf>
    <xf numFmtId="4" fontId="5" fillId="35" borderId="10" xfId="57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0" fontId="5" fillId="33" borderId="11" xfId="52" applyFont="1" applyFill="1" applyBorder="1" applyAlignment="1">
      <alignment horizontal="justify" vertical="justify" wrapText="1"/>
      <protection/>
    </xf>
    <xf numFmtId="0" fontId="5" fillId="33" borderId="11" xfId="52" applyFont="1" applyFill="1" applyBorder="1" applyAlignment="1">
      <alignment horizontal="center" vertical="center"/>
      <protection/>
    </xf>
    <xf numFmtId="4" fontId="5" fillId="33" borderId="11" xfId="57" applyNumberFormat="1" applyFont="1" applyFill="1" applyBorder="1" applyAlignment="1">
      <alignment horizontal="center" vertical="center"/>
    </xf>
    <xf numFmtId="10" fontId="4" fillId="36" borderId="10" xfId="57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10" fontId="5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35" borderId="10" xfId="52" applyNumberFormat="1" applyFont="1" applyFill="1" applyBorder="1" applyAlignment="1">
      <alignment horizontal="center" vertical="center" wrapText="1"/>
      <protection/>
    </xf>
    <xf numFmtId="4" fontId="5" fillId="35" borderId="10" xfId="57" applyNumberFormat="1" applyFont="1" applyFill="1" applyBorder="1" applyAlignment="1">
      <alignment horizontal="center" vertical="center" wrapText="1"/>
    </xf>
    <xf numFmtId="4" fontId="5" fillId="35" borderId="10" xfId="57" applyNumberFormat="1" applyFont="1" applyFill="1" applyBorder="1" applyAlignment="1">
      <alignment horizontal="center" vertical="center"/>
    </xf>
    <xf numFmtId="0" fontId="5" fillId="35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 applyBorder="1" applyAlignment="1">
      <alignment vertical="center" wrapText="1"/>
    </xf>
    <xf numFmtId="4" fontId="5" fillId="37" borderId="0" xfId="0" applyNumberFormat="1" applyFont="1" applyFill="1" applyAlignment="1">
      <alignment vertical="center"/>
    </xf>
    <xf numFmtId="0" fontId="5" fillId="35" borderId="10" xfId="52" applyFont="1" applyFill="1" applyBorder="1" applyAlignment="1">
      <alignment horizontal="justify" vertical="justify" wrapText="1"/>
      <protection/>
    </xf>
    <xf numFmtId="2" fontId="5" fillId="35" borderId="10" xfId="52" applyNumberFormat="1" applyFont="1" applyFill="1" applyBorder="1" applyAlignment="1">
      <alignment horizontal="justify" vertical="justify" wrapText="1"/>
      <protection/>
    </xf>
    <xf numFmtId="2" fontId="5" fillId="35" borderId="10" xfId="52" applyNumberFormat="1" applyFont="1" applyFill="1" applyBorder="1" applyAlignment="1">
      <alignment horizontal="center" vertical="center"/>
      <protection/>
    </xf>
    <xf numFmtId="4" fontId="44" fillId="35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0" fontId="4" fillId="0" borderId="10" xfId="0" applyNumberFormat="1" applyFont="1" applyBorder="1" applyAlignment="1">
      <alignment horizontal="center"/>
    </xf>
    <xf numFmtId="49" fontId="5" fillId="35" borderId="10" xfId="57" applyNumberFormat="1" applyFont="1" applyFill="1" applyBorder="1" applyAlignment="1">
      <alignment horizontal="center" vertical="center" wrapText="1"/>
    </xf>
    <xf numFmtId="4" fontId="5" fillId="35" borderId="10" xfId="0" applyNumberFormat="1" applyFont="1" applyFill="1" applyBorder="1" applyAlignment="1">
      <alignment horizontal="center" vertical="center" wrapText="1"/>
    </xf>
    <xf numFmtId="0" fontId="5" fillId="35" borderId="12" xfId="52" applyFont="1" applyFill="1" applyBorder="1" applyAlignment="1">
      <alignment horizontal="center" vertical="center"/>
      <protection/>
    </xf>
    <xf numFmtId="4" fontId="5" fillId="35" borderId="13" xfId="57" applyNumberFormat="1" applyFont="1" applyFill="1" applyBorder="1" applyAlignment="1">
      <alignment vertical="center" wrapText="1"/>
    </xf>
    <xf numFmtId="4" fontId="5" fillId="35" borderId="12" xfId="57" applyNumberFormat="1" applyFont="1" applyFill="1" applyBorder="1" applyAlignment="1">
      <alignment vertical="center" wrapText="1"/>
    </xf>
    <xf numFmtId="4" fontId="5" fillId="35" borderId="14" xfId="57" applyNumberFormat="1" applyFont="1" applyFill="1" applyBorder="1" applyAlignment="1">
      <alignment vertical="center" wrapText="1"/>
    </xf>
    <xf numFmtId="4" fontId="5" fillId="35" borderId="15" xfId="57" applyNumberFormat="1" applyFont="1" applyFill="1" applyBorder="1" applyAlignment="1">
      <alignment vertical="center" wrapText="1"/>
    </xf>
    <xf numFmtId="4" fontId="5" fillId="35" borderId="12" xfId="57" applyNumberFormat="1" applyFont="1" applyFill="1" applyBorder="1" applyAlignment="1">
      <alignment horizontal="center" vertical="center" wrapText="1"/>
    </xf>
    <xf numFmtId="49" fontId="5" fillId="35" borderId="16" xfId="0" applyNumberFormat="1" applyFont="1" applyFill="1" applyBorder="1" applyAlignment="1">
      <alignment vertical="justify" wrapText="1"/>
    </xf>
    <xf numFmtId="4" fontId="5" fillId="35" borderId="17" xfId="57" applyNumberFormat="1" applyFont="1" applyFill="1" applyBorder="1" applyAlignment="1">
      <alignment horizontal="center" vertical="center"/>
    </xf>
    <xf numFmtId="4" fontId="5" fillId="35" borderId="15" xfId="57" applyNumberFormat="1" applyFont="1" applyFill="1" applyBorder="1" applyAlignment="1">
      <alignment horizontal="center" vertical="center" wrapText="1"/>
    </xf>
    <xf numFmtId="4" fontId="5" fillId="35" borderId="12" xfId="0" applyNumberFormat="1" applyFont="1" applyFill="1" applyBorder="1" applyAlignment="1">
      <alignment vertical="center" wrapText="1"/>
    </xf>
    <xf numFmtId="4" fontId="5" fillId="35" borderId="15" xfId="0" applyNumberFormat="1" applyFont="1" applyFill="1" applyBorder="1" applyAlignment="1">
      <alignment horizontal="center" vertical="center" wrapText="1"/>
    </xf>
    <xf numFmtId="4" fontId="5" fillId="35" borderId="15" xfId="0" applyNumberFormat="1" applyFont="1" applyFill="1" applyBorder="1" applyAlignment="1">
      <alignment vertical="center" wrapText="1"/>
    </xf>
    <xf numFmtId="4" fontId="5" fillId="35" borderId="18" xfId="0" applyNumberFormat="1" applyFont="1" applyFill="1" applyBorder="1" applyAlignment="1">
      <alignment vertical="center" wrapText="1"/>
    </xf>
    <xf numFmtId="4" fontId="5" fillId="35" borderId="12" xfId="57" applyNumberFormat="1" applyFont="1" applyFill="1" applyBorder="1" applyAlignment="1">
      <alignment vertical="center"/>
    </xf>
    <xf numFmtId="4" fontId="5" fillId="35" borderId="16" xfId="57" applyNumberFormat="1" applyFont="1" applyFill="1" applyBorder="1" applyAlignment="1">
      <alignment horizontal="center" vertical="center"/>
    </xf>
    <xf numFmtId="4" fontId="5" fillId="35" borderId="0" xfId="57" applyNumberFormat="1" applyFont="1" applyFill="1" applyBorder="1" applyAlignment="1">
      <alignment horizontal="center" vertical="center"/>
    </xf>
    <xf numFmtId="4" fontId="5" fillId="35" borderId="18" xfId="57" applyNumberFormat="1" applyFont="1" applyFill="1" applyBorder="1" applyAlignment="1">
      <alignment horizontal="center" vertical="center"/>
    </xf>
    <xf numFmtId="4" fontId="5" fillId="35" borderId="12" xfId="57" applyNumberFormat="1" applyFont="1" applyFill="1" applyBorder="1" applyAlignment="1">
      <alignment horizontal="center"/>
    </xf>
    <xf numFmtId="4" fontId="5" fillId="35" borderId="18" xfId="57" applyNumberFormat="1" applyFont="1" applyFill="1" applyBorder="1" applyAlignment="1">
      <alignment vertical="center"/>
    </xf>
    <xf numFmtId="4" fontId="5" fillId="35" borderId="18" xfId="57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35" borderId="10" xfId="52" applyFont="1" applyFill="1" applyBorder="1" applyAlignment="1">
      <alignment horizontal="left" vertical="center" wrapText="1"/>
      <protection/>
    </xf>
    <xf numFmtId="4" fontId="5" fillId="35" borderId="10" xfId="52" applyNumberFormat="1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 wrapText="1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5" fillId="35" borderId="10" xfId="52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5" borderId="10" xfId="52" applyFont="1" applyFill="1" applyBorder="1" applyAlignment="1">
      <alignment horizontal="center" vertical="center" wrapText="1"/>
      <protection/>
    </xf>
    <xf numFmtId="0" fontId="4" fillId="35" borderId="10" xfId="52" applyFont="1" applyFill="1" applyBorder="1" applyAlignment="1">
      <alignment horizontal="left" vertical="center" wrapText="1"/>
      <protection/>
    </xf>
    <xf numFmtId="0" fontId="5" fillId="0" borderId="1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4" fontId="5" fillId="35" borderId="10" xfId="52" applyNumberFormat="1" applyFont="1" applyFill="1" applyBorder="1" applyAlignment="1">
      <alignment horizontal="center" vertical="center" wrapText="1"/>
      <protection/>
    </xf>
    <xf numFmtId="4" fontId="5" fillId="33" borderId="10" xfId="52" applyNumberFormat="1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justify" wrapText="1"/>
    </xf>
    <xf numFmtId="0" fontId="5" fillId="35" borderId="10" xfId="52" applyFont="1" applyFill="1" applyBorder="1" applyAlignment="1">
      <alignment horizontal="center" vertical="center" wrapText="1"/>
      <protection/>
    </xf>
    <xf numFmtId="49" fontId="5" fillId="35" borderId="20" xfId="0" applyNumberFormat="1" applyFont="1" applyFill="1" applyBorder="1" applyAlignment="1">
      <alignment horizontal="center" vertical="center" wrapText="1"/>
    </xf>
    <xf numFmtId="49" fontId="5" fillId="35" borderId="13" xfId="0" applyNumberFormat="1" applyFont="1" applyFill="1" applyBorder="1" applyAlignment="1">
      <alignment horizontal="center" vertical="center" wrapText="1"/>
    </xf>
    <xf numFmtId="0" fontId="5" fillId="35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33" borderId="16" xfId="0" applyNumberFormat="1" applyFont="1" applyFill="1" applyBorder="1" applyAlignment="1">
      <alignment horizontal="center" vertical="justify" wrapText="1"/>
    </xf>
    <xf numFmtId="49" fontId="4" fillId="33" borderId="17" xfId="0" applyNumberFormat="1" applyFont="1" applyFill="1" applyBorder="1" applyAlignment="1">
      <alignment horizontal="center" vertical="justify" wrapText="1"/>
    </xf>
    <xf numFmtId="4" fontId="5" fillId="35" borderId="20" xfId="57" applyNumberFormat="1" applyFont="1" applyFill="1" applyBorder="1" applyAlignment="1">
      <alignment horizontal="center" vertical="center"/>
    </xf>
    <xf numFmtId="4" fontId="5" fillId="35" borderId="23" xfId="57" applyNumberFormat="1" applyFont="1" applyFill="1" applyBorder="1" applyAlignment="1">
      <alignment horizontal="center" vertical="center"/>
    </xf>
    <xf numFmtId="0" fontId="4" fillId="0" borderId="16" xfId="52" applyFont="1" applyFill="1" applyBorder="1" applyAlignment="1">
      <alignment horizontal="left" vertical="center" wrapText="1"/>
      <protection/>
    </xf>
    <xf numFmtId="0" fontId="4" fillId="0" borderId="19" xfId="52" applyFont="1" applyFill="1" applyBorder="1" applyAlignment="1">
      <alignment horizontal="left" vertical="center" wrapText="1"/>
      <protection/>
    </xf>
    <xf numFmtId="0" fontId="4" fillId="0" borderId="17" xfId="52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horizontal="left" vertical="center"/>
    </xf>
    <xf numFmtId="0" fontId="4" fillId="35" borderId="16" xfId="52" applyFont="1" applyFill="1" applyBorder="1" applyAlignment="1">
      <alignment horizontal="left" vertical="center" wrapText="1"/>
      <protection/>
    </xf>
    <xf numFmtId="0" fontId="4" fillId="35" borderId="19" xfId="52" applyFont="1" applyFill="1" applyBorder="1" applyAlignment="1">
      <alignment horizontal="left" vertical="center" wrapText="1"/>
      <protection/>
    </xf>
    <xf numFmtId="0" fontId="4" fillId="35" borderId="17" xfId="52" applyFont="1" applyFill="1" applyBorder="1" applyAlignment="1">
      <alignment horizontal="left" vertical="center" wrapText="1"/>
      <protection/>
    </xf>
    <xf numFmtId="0" fontId="5" fillId="35" borderId="12" xfId="52" applyFont="1" applyFill="1" applyBorder="1" applyAlignment="1">
      <alignment horizontal="center" vertical="center" wrapText="1"/>
      <protection/>
    </xf>
    <xf numFmtId="0" fontId="5" fillId="35" borderId="18" xfId="52" applyFont="1" applyFill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Neutra" xfId="50"/>
    <cellStyle name="Normal 2" xfId="51"/>
    <cellStyle name="Normal_CUSTOS RESUMO" xfId="52"/>
    <cellStyle name="Nota" xfId="53"/>
    <cellStyle name="Percent" xfId="54"/>
    <cellStyle name="Porcentagem 2" xfId="55"/>
    <cellStyle name="Saída" xfId="56"/>
    <cellStyle name="Comm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view="pageBreakPreview" zoomScaleSheetLayoutView="100" zoomScalePageLayoutView="0" workbookViewId="0" topLeftCell="A33">
      <selection activeCell="C39" sqref="C39"/>
    </sheetView>
  </sheetViews>
  <sheetFormatPr defaultColWidth="9.140625" defaultRowHeight="12.75"/>
  <cols>
    <col min="1" max="1" width="16.57421875" style="14" bestFit="1" customWidth="1"/>
    <col min="2" max="2" width="9.421875" style="5" customWidth="1"/>
    <col min="3" max="3" width="48.57421875" style="17" customWidth="1"/>
    <col min="4" max="4" width="6.7109375" style="6" customWidth="1"/>
    <col min="5" max="5" width="10.8515625" style="6" customWidth="1"/>
    <col min="6" max="6" width="12.421875" style="6" customWidth="1"/>
    <col min="7" max="7" width="13.8515625" style="6" customWidth="1"/>
    <col min="8" max="8" width="14.8515625" style="13" customWidth="1"/>
    <col min="9" max="9" width="9.140625" style="5" customWidth="1"/>
    <col min="10" max="10" width="14.7109375" style="61" bestFit="1" customWidth="1"/>
    <col min="11" max="11" width="13.7109375" style="9" bestFit="1" customWidth="1"/>
    <col min="12" max="16384" width="9.140625" style="5" customWidth="1"/>
  </cols>
  <sheetData>
    <row r="1" spans="1:8" ht="15" customHeight="1">
      <c r="A1" s="108"/>
      <c r="B1" s="108"/>
      <c r="C1" s="108"/>
      <c r="D1" s="108"/>
      <c r="E1" s="108"/>
      <c r="F1" s="108"/>
      <c r="G1" s="108"/>
      <c r="H1" s="108"/>
    </row>
    <row r="2" spans="1:8" ht="15">
      <c r="A2" s="108"/>
      <c r="B2" s="108"/>
      <c r="C2" s="108"/>
      <c r="D2" s="108"/>
      <c r="E2" s="108"/>
      <c r="F2" s="108"/>
      <c r="G2" s="108"/>
      <c r="H2" s="108"/>
    </row>
    <row r="3" spans="1:8" ht="15">
      <c r="A3" s="108"/>
      <c r="B3" s="108"/>
      <c r="C3" s="108"/>
      <c r="D3" s="108"/>
      <c r="E3" s="108"/>
      <c r="F3" s="108"/>
      <c r="G3" s="108"/>
      <c r="H3" s="108"/>
    </row>
    <row r="4" spans="1:8" ht="15">
      <c r="A4" s="108"/>
      <c r="B4" s="108"/>
      <c r="C4" s="108"/>
      <c r="D4" s="108"/>
      <c r="E4" s="108"/>
      <c r="F4" s="108"/>
      <c r="G4" s="108"/>
      <c r="H4" s="108"/>
    </row>
    <row r="5" spans="1:8" ht="15">
      <c r="A5" s="108"/>
      <c r="B5" s="108"/>
      <c r="C5" s="108"/>
      <c r="D5" s="108"/>
      <c r="E5" s="108"/>
      <c r="F5" s="108"/>
      <c r="G5" s="108"/>
      <c r="H5" s="108"/>
    </row>
    <row r="6" spans="1:8" ht="18">
      <c r="A6" s="109" t="s">
        <v>24</v>
      </c>
      <c r="B6" s="109"/>
      <c r="C6" s="109"/>
      <c r="D6" s="109"/>
      <c r="E6" s="109"/>
      <c r="F6" s="109"/>
      <c r="G6" s="109"/>
      <c r="H6" s="109"/>
    </row>
    <row r="7" spans="1:11" s="20" customFormat="1" ht="65.25" customHeight="1">
      <c r="A7" s="110" t="s">
        <v>114</v>
      </c>
      <c r="B7" s="111"/>
      <c r="C7" s="111"/>
      <c r="D7" s="111"/>
      <c r="E7" s="111"/>
      <c r="F7" s="111"/>
      <c r="G7" s="111"/>
      <c r="H7" s="112"/>
      <c r="J7" s="62"/>
      <c r="K7" s="24"/>
    </row>
    <row r="8" spans="1:8" ht="24" customHeight="1">
      <c r="A8" s="114" t="s">
        <v>115</v>
      </c>
      <c r="B8" s="115"/>
      <c r="C8" s="115"/>
      <c r="D8" s="115"/>
      <c r="E8" s="115"/>
      <c r="F8" s="115"/>
      <c r="G8" s="115"/>
      <c r="H8" s="116"/>
    </row>
    <row r="9" spans="1:8" ht="67.5" customHeight="1">
      <c r="A9" s="110" t="s">
        <v>158</v>
      </c>
      <c r="B9" s="111"/>
      <c r="C9" s="111"/>
      <c r="D9" s="111"/>
      <c r="E9" s="111"/>
      <c r="F9" s="111"/>
      <c r="G9" s="111"/>
      <c r="H9" s="112"/>
    </row>
    <row r="10" spans="1:8" ht="15.75">
      <c r="A10" s="101" t="s">
        <v>19</v>
      </c>
      <c r="B10" s="102" t="s">
        <v>1</v>
      </c>
      <c r="C10" s="102" t="s">
        <v>20</v>
      </c>
      <c r="D10" s="102" t="s">
        <v>8</v>
      </c>
      <c r="E10" s="102"/>
      <c r="F10" s="102"/>
      <c r="G10" s="102"/>
      <c r="H10" s="102"/>
    </row>
    <row r="11" spans="1:8" ht="56.25" customHeight="1">
      <c r="A11" s="101"/>
      <c r="B11" s="102"/>
      <c r="C11" s="102"/>
      <c r="D11" s="1" t="s">
        <v>9</v>
      </c>
      <c r="E11" s="2" t="s">
        <v>10</v>
      </c>
      <c r="F11" s="3" t="s">
        <v>108</v>
      </c>
      <c r="G11" s="3" t="s">
        <v>27</v>
      </c>
      <c r="H11" s="3" t="s">
        <v>28</v>
      </c>
    </row>
    <row r="12" spans="1:8" ht="15.75">
      <c r="A12" s="29"/>
      <c r="B12" s="25" t="s">
        <v>49</v>
      </c>
      <c r="C12" s="113" t="s">
        <v>50</v>
      </c>
      <c r="D12" s="113"/>
      <c r="E12" s="113"/>
      <c r="F12" s="113"/>
      <c r="G12" s="113"/>
      <c r="H12" s="113"/>
    </row>
    <row r="13" spans="1:8" ht="15.75">
      <c r="A13" s="30"/>
      <c r="B13" s="4">
        <v>1</v>
      </c>
      <c r="C13" s="104" t="s">
        <v>2</v>
      </c>
      <c r="D13" s="104"/>
      <c r="E13" s="104"/>
      <c r="F13" s="104"/>
      <c r="G13" s="104"/>
      <c r="H13" s="104"/>
    </row>
    <row r="14" spans="1:10" ht="30">
      <c r="A14" s="31" t="s">
        <v>84</v>
      </c>
      <c r="B14" s="97" t="s">
        <v>3</v>
      </c>
      <c r="C14" s="64" t="s">
        <v>21</v>
      </c>
      <c r="D14" s="97" t="s">
        <v>4</v>
      </c>
      <c r="E14" s="58">
        <f>'Memoria de Calculo'!F12</f>
        <v>8</v>
      </c>
      <c r="F14" s="27">
        <v>184.38</v>
      </c>
      <c r="G14" s="58">
        <f aca="true" t="shared" si="0" ref="G14:G22">E14*F14</f>
        <v>1475.04</v>
      </c>
      <c r="H14" s="32"/>
      <c r="J14" s="61">
        <f>E14*F14</f>
        <v>1475.04</v>
      </c>
    </row>
    <row r="15" spans="1:10" ht="60">
      <c r="A15" s="31" t="s">
        <v>33</v>
      </c>
      <c r="B15" s="99" t="s">
        <v>5</v>
      </c>
      <c r="C15" s="65" t="s">
        <v>18</v>
      </c>
      <c r="D15" s="66" t="s">
        <v>16</v>
      </c>
      <c r="E15" s="58">
        <f>'Memoria de Calculo'!F13</f>
        <v>0.33333</v>
      </c>
      <c r="F15" s="67">
        <v>16609.21</v>
      </c>
      <c r="G15" s="58">
        <f t="shared" si="0"/>
        <v>5536.3479693</v>
      </c>
      <c r="H15" s="32"/>
      <c r="J15" s="61">
        <f aca="true" t="shared" si="1" ref="J15:J32">E15*F15</f>
        <v>5536.3479693</v>
      </c>
    </row>
    <row r="16" spans="1:10" ht="45">
      <c r="A16" s="31" t="s">
        <v>35</v>
      </c>
      <c r="B16" s="99" t="s">
        <v>34</v>
      </c>
      <c r="C16" s="65" t="s">
        <v>36</v>
      </c>
      <c r="D16" s="66" t="s">
        <v>16</v>
      </c>
      <c r="E16" s="58">
        <f>'Memoria de Calculo'!F14</f>
        <v>7</v>
      </c>
      <c r="F16" s="67">
        <v>756.17</v>
      </c>
      <c r="G16" s="58">
        <f>E16*F16</f>
        <v>5293.19</v>
      </c>
      <c r="H16" s="32"/>
      <c r="J16" s="61">
        <f>E16*F16</f>
        <v>5293.19</v>
      </c>
    </row>
    <row r="17" spans="1:10" ht="30">
      <c r="A17" s="31" t="s">
        <v>127</v>
      </c>
      <c r="B17" s="99" t="s">
        <v>58</v>
      </c>
      <c r="C17" s="65" t="s">
        <v>128</v>
      </c>
      <c r="D17" s="66" t="s">
        <v>16</v>
      </c>
      <c r="E17" s="58">
        <f>'Memoria de Calculo'!F15</f>
        <v>7</v>
      </c>
      <c r="F17" s="67">
        <v>427.77</v>
      </c>
      <c r="G17" s="58">
        <f>E17*F17</f>
        <v>2994.39</v>
      </c>
      <c r="H17" s="32"/>
      <c r="J17" s="61">
        <f>E17*F17</f>
        <v>2994.39</v>
      </c>
    </row>
    <row r="18" spans="1:10" ht="30">
      <c r="A18" s="31" t="s">
        <v>87</v>
      </c>
      <c r="B18" s="99" t="s">
        <v>65</v>
      </c>
      <c r="C18" s="28" t="s">
        <v>86</v>
      </c>
      <c r="D18" s="97" t="s">
        <v>0</v>
      </c>
      <c r="E18" s="95">
        <f>'Memoria de Calculo'!F16</f>
        <v>70.67</v>
      </c>
      <c r="F18" s="95">
        <v>50.51</v>
      </c>
      <c r="G18" s="58">
        <f t="shared" si="0"/>
        <v>3569.5416999999998</v>
      </c>
      <c r="H18" s="27"/>
      <c r="J18" s="61">
        <f t="shared" si="1"/>
        <v>3569.5416999999998</v>
      </c>
    </row>
    <row r="19" spans="1:10" ht="75">
      <c r="A19" s="31" t="s">
        <v>131</v>
      </c>
      <c r="B19" s="99" t="s">
        <v>66</v>
      </c>
      <c r="C19" s="28" t="s">
        <v>132</v>
      </c>
      <c r="D19" s="97" t="s">
        <v>0</v>
      </c>
      <c r="E19" s="95">
        <f>'Memoria de Calculo'!F17</f>
        <v>8</v>
      </c>
      <c r="F19" s="95">
        <v>33.87</v>
      </c>
      <c r="G19" s="58">
        <f t="shared" si="0"/>
        <v>270.96</v>
      </c>
      <c r="H19" s="27"/>
      <c r="J19" s="61">
        <f t="shared" si="1"/>
        <v>270.96</v>
      </c>
    </row>
    <row r="20" spans="1:10" ht="45">
      <c r="A20" s="31" t="s">
        <v>134</v>
      </c>
      <c r="B20" s="99" t="s">
        <v>129</v>
      </c>
      <c r="C20" s="28" t="s">
        <v>136</v>
      </c>
      <c r="D20" s="97" t="s">
        <v>0</v>
      </c>
      <c r="E20" s="95">
        <f>'Memoria de Calculo'!F18</f>
        <v>8</v>
      </c>
      <c r="F20" s="95">
        <v>294.5</v>
      </c>
      <c r="G20" s="58">
        <f t="shared" si="0"/>
        <v>2356</v>
      </c>
      <c r="H20" s="27"/>
      <c r="J20" s="61">
        <f t="shared" si="1"/>
        <v>2356</v>
      </c>
    </row>
    <row r="21" spans="1:10" ht="60">
      <c r="A21" s="31" t="s">
        <v>135</v>
      </c>
      <c r="B21" s="99" t="s">
        <v>130</v>
      </c>
      <c r="C21" s="28" t="s">
        <v>137</v>
      </c>
      <c r="D21" s="97" t="s">
        <v>0</v>
      </c>
      <c r="E21" s="95">
        <f>'Memoria de Calculo'!F19</f>
        <v>8</v>
      </c>
      <c r="F21" s="95">
        <v>434.27</v>
      </c>
      <c r="G21" s="58">
        <f>E21*F21</f>
        <v>3474.16</v>
      </c>
      <c r="H21" s="27"/>
      <c r="J21" s="61">
        <f>E21*F21</f>
        <v>3474.16</v>
      </c>
    </row>
    <row r="22" spans="1:10" ht="30">
      <c r="A22" s="31" t="s">
        <v>85</v>
      </c>
      <c r="B22" s="99" t="s">
        <v>133</v>
      </c>
      <c r="C22" s="28" t="s">
        <v>68</v>
      </c>
      <c r="D22" s="97" t="s">
        <v>48</v>
      </c>
      <c r="E22" s="95">
        <f>'Memoria de Calculo'!F20</f>
        <v>2</v>
      </c>
      <c r="F22" s="95">
        <v>1775.36</v>
      </c>
      <c r="G22" s="58">
        <f t="shared" si="0"/>
        <v>3550.72</v>
      </c>
      <c r="H22" s="27"/>
      <c r="J22" s="61">
        <f t="shared" si="1"/>
        <v>3550.72</v>
      </c>
    </row>
    <row r="23" spans="1:10" ht="15.75">
      <c r="A23" s="31"/>
      <c r="B23" s="103" t="s">
        <v>6</v>
      </c>
      <c r="C23" s="103"/>
      <c r="D23" s="103"/>
      <c r="E23" s="103"/>
      <c r="F23" s="103"/>
      <c r="G23" s="103"/>
      <c r="H23" s="32">
        <f>SUM(G14:G22)</f>
        <v>28520.3496693</v>
      </c>
      <c r="J23" s="61">
        <f t="shared" si="1"/>
        <v>0</v>
      </c>
    </row>
    <row r="24" spans="1:10" ht="15.75">
      <c r="A24" s="31"/>
      <c r="B24" s="26">
        <v>2</v>
      </c>
      <c r="C24" s="104" t="s">
        <v>37</v>
      </c>
      <c r="D24" s="104"/>
      <c r="E24" s="104"/>
      <c r="F24" s="104"/>
      <c r="G24" s="104"/>
      <c r="H24" s="104"/>
      <c r="J24" s="61">
        <f t="shared" si="1"/>
        <v>0</v>
      </c>
    </row>
    <row r="25" spans="1:8" ht="30">
      <c r="A25" s="95" t="s">
        <v>38</v>
      </c>
      <c r="B25" s="96" t="s">
        <v>29</v>
      </c>
      <c r="C25" s="28" t="s">
        <v>69</v>
      </c>
      <c r="D25" s="96" t="s">
        <v>22</v>
      </c>
      <c r="E25" s="95" t="s">
        <v>38</v>
      </c>
      <c r="F25" s="95"/>
      <c r="G25" s="58"/>
      <c r="H25" s="27"/>
    </row>
    <row r="26" spans="1:8" ht="30">
      <c r="A26" s="95" t="s">
        <v>38</v>
      </c>
      <c r="B26" s="96" t="s">
        <v>30</v>
      </c>
      <c r="C26" s="28" t="s">
        <v>71</v>
      </c>
      <c r="D26" s="96" t="s">
        <v>22</v>
      </c>
      <c r="E26" s="95" t="s">
        <v>38</v>
      </c>
      <c r="F26" s="95"/>
      <c r="G26" s="58"/>
      <c r="H26" s="27"/>
    </row>
    <row r="27" spans="1:8" ht="30">
      <c r="A27" s="95" t="s">
        <v>38</v>
      </c>
      <c r="B27" s="96" t="s">
        <v>70</v>
      </c>
      <c r="C27" s="28" t="s">
        <v>67</v>
      </c>
      <c r="D27" s="96" t="s">
        <v>4</v>
      </c>
      <c r="E27" s="95" t="s">
        <v>38</v>
      </c>
      <c r="F27" s="95"/>
      <c r="G27" s="58"/>
      <c r="H27" s="27"/>
    </row>
    <row r="28" spans="1:10" ht="15.75">
      <c r="A28" s="31"/>
      <c r="B28" s="103" t="s">
        <v>7</v>
      </c>
      <c r="C28" s="103"/>
      <c r="D28" s="103"/>
      <c r="E28" s="103"/>
      <c r="F28" s="103"/>
      <c r="G28" s="103"/>
      <c r="H28" s="32">
        <f>SUM(G25:G27)</f>
        <v>0</v>
      </c>
      <c r="J28" s="61">
        <f t="shared" si="1"/>
        <v>0</v>
      </c>
    </row>
    <row r="29" spans="1:10" ht="15.75">
      <c r="A29" s="31"/>
      <c r="B29" s="26">
        <v>3</v>
      </c>
      <c r="C29" s="104" t="s">
        <v>32</v>
      </c>
      <c r="D29" s="104"/>
      <c r="E29" s="104"/>
      <c r="F29" s="104"/>
      <c r="G29" s="104"/>
      <c r="H29" s="104"/>
      <c r="J29" s="61">
        <f t="shared" si="1"/>
        <v>0</v>
      </c>
    </row>
    <row r="30" spans="1:10" ht="45">
      <c r="A30" s="31" t="s">
        <v>89</v>
      </c>
      <c r="B30" s="97" t="s">
        <v>40</v>
      </c>
      <c r="C30" s="96" t="s">
        <v>88</v>
      </c>
      <c r="D30" s="97" t="s">
        <v>0</v>
      </c>
      <c r="E30" s="58">
        <f>'Memoria de Calculo'!F31</f>
        <v>575.1999999999998</v>
      </c>
      <c r="F30" s="67">
        <v>50.56</v>
      </c>
      <c r="G30" s="58">
        <f>F30*E30</f>
        <v>29082.111999999994</v>
      </c>
      <c r="H30" s="32"/>
      <c r="J30" s="61">
        <f t="shared" si="1"/>
        <v>29082.111999999994</v>
      </c>
    </row>
    <row r="31" spans="1:10" ht="60">
      <c r="A31" s="31" t="s">
        <v>91</v>
      </c>
      <c r="B31" s="97" t="s">
        <v>41</v>
      </c>
      <c r="C31" s="64" t="s">
        <v>90</v>
      </c>
      <c r="D31" s="97" t="s">
        <v>4</v>
      </c>
      <c r="E31" s="58">
        <f>'Memoria de Calculo'!F36</f>
        <v>8289.6</v>
      </c>
      <c r="F31" s="67">
        <v>87.69</v>
      </c>
      <c r="G31" s="58">
        <f>F31*E31</f>
        <v>726915.024</v>
      </c>
      <c r="H31" s="32"/>
      <c r="J31" s="61">
        <f t="shared" si="1"/>
        <v>726915.024</v>
      </c>
    </row>
    <row r="32" spans="1:10" ht="21.75" customHeight="1">
      <c r="A32" s="96" t="s">
        <v>93</v>
      </c>
      <c r="B32" s="97" t="s">
        <v>42</v>
      </c>
      <c r="C32" s="28" t="s">
        <v>92</v>
      </c>
      <c r="D32" s="96" t="s">
        <v>0</v>
      </c>
      <c r="E32" s="58">
        <f>'Memoria de Calculo'!F43</f>
        <v>1940.6799999999998</v>
      </c>
      <c r="F32" s="67">
        <v>72.11</v>
      </c>
      <c r="G32" s="58">
        <f>F32*E32</f>
        <v>139942.4348</v>
      </c>
      <c r="H32" s="32"/>
      <c r="J32" s="61">
        <f t="shared" si="1"/>
        <v>139942.4348</v>
      </c>
    </row>
    <row r="33" spans="1:10" ht="52.5" customHeight="1">
      <c r="A33" s="96" t="s">
        <v>143</v>
      </c>
      <c r="B33" s="97" t="s">
        <v>144</v>
      </c>
      <c r="C33" s="28" t="s">
        <v>145</v>
      </c>
      <c r="D33" s="96" t="s">
        <v>4</v>
      </c>
      <c r="E33" s="58">
        <f>'Memoria de Calculo'!F50</f>
        <v>3985.335</v>
      </c>
      <c r="F33" s="67">
        <v>82.96</v>
      </c>
      <c r="G33" s="58">
        <f>F33*E33</f>
        <v>330623.3916</v>
      </c>
      <c r="H33" s="32"/>
      <c r="J33" s="61">
        <f>E33*F33</f>
        <v>330623.3916</v>
      </c>
    </row>
    <row r="34" spans="1:8" ht="15.75">
      <c r="A34" s="31"/>
      <c r="B34" s="103" t="s">
        <v>26</v>
      </c>
      <c r="C34" s="103"/>
      <c r="D34" s="103"/>
      <c r="E34" s="103"/>
      <c r="F34" s="103"/>
      <c r="G34" s="103"/>
      <c r="H34" s="32">
        <f>SUM(G30:G33)</f>
        <v>1226562.9623999998</v>
      </c>
    </row>
    <row r="35" spans="1:8" ht="15.75" customHeight="1">
      <c r="A35" s="31"/>
      <c r="B35" s="26">
        <v>4</v>
      </c>
      <c r="C35" s="104" t="s">
        <v>51</v>
      </c>
      <c r="D35" s="104"/>
      <c r="E35" s="104"/>
      <c r="F35" s="104"/>
      <c r="G35" s="104"/>
      <c r="H35" s="104"/>
    </row>
    <row r="36" spans="1:10" ht="45">
      <c r="A36" s="60" t="s">
        <v>53</v>
      </c>
      <c r="B36" s="60" t="s">
        <v>43</v>
      </c>
      <c r="C36" s="28" t="s">
        <v>54</v>
      </c>
      <c r="D36" s="60" t="s">
        <v>0</v>
      </c>
      <c r="E36" s="56">
        <f>'Memoria de Calculo'!F57</f>
        <v>120</v>
      </c>
      <c r="F36" s="56">
        <v>130.88</v>
      </c>
      <c r="G36" s="58">
        <f>F36*E36</f>
        <v>15705.599999999999</v>
      </c>
      <c r="H36" s="27"/>
      <c r="J36" s="63">
        <f>E36*F36</f>
        <v>15705.599999999999</v>
      </c>
    </row>
    <row r="37" spans="1:10" ht="45">
      <c r="A37" s="60" t="s">
        <v>104</v>
      </c>
      <c r="B37" s="60" t="s">
        <v>44</v>
      </c>
      <c r="C37" s="28" t="s">
        <v>105</v>
      </c>
      <c r="D37" s="60" t="s">
        <v>0</v>
      </c>
      <c r="E37" s="56">
        <f>'Memoria de Calculo'!F59</f>
        <v>323.52</v>
      </c>
      <c r="F37" s="56">
        <v>270.49</v>
      </c>
      <c r="G37" s="58">
        <f>F37*E37</f>
        <v>87508.9248</v>
      </c>
      <c r="H37" s="27"/>
      <c r="J37" s="63">
        <f>E37*F37</f>
        <v>87508.9248</v>
      </c>
    </row>
    <row r="38" spans="1:10" ht="45">
      <c r="A38" s="60" t="s">
        <v>107</v>
      </c>
      <c r="B38" s="60" t="s">
        <v>45</v>
      </c>
      <c r="C38" s="28" t="s">
        <v>106</v>
      </c>
      <c r="D38" s="59" t="s">
        <v>48</v>
      </c>
      <c r="E38" s="56">
        <f>'Memoria de Calculo'!F61</f>
        <v>5</v>
      </c>
      <c r="F38" s="56">
        <v>4204.21</v>
      </c>
      <c r="G38" s="58">
        <f>F38*E38</f>
        <v>21021.05</v>
      </c>
      <c r="H38" s="27"/>
      <c r="J38" s="63">
        <f>E38*F38</f>
        <v>21021.05</v>
      </c>
    </row>
    <row r="39" spans="1:10" ht="30">
      <c r="A39" s="60" t="s">
        <v>55</v>
      </c>
      <c r="B39" s="60" t="s">
        <v>47</v>
      </c>
      <c r="C39" s="28" t="s">
        <v>56</v>
      </c>
      <c r="D39" s="60" t="s">
        <v>48</v>
      </c>
      <c r="E39" s="56">
        <f>'Memoria de Calculo'!F63</f>
        <v>12</v>
      </c>
      <c r="F39" s="56">
        <v>1424.67</v>
      </c>
      <c r="G39" s="58">
        <f>F39*E39</f>
        <v>17096.04</v>
      </c>
      <c r="H39" s="27"/>
      <c r="J39" s="63">
        <f>E39*F39</f>
        <v>17096.04</v>
      </c>
    </row>
    <row r="40" spans="1:8" ht="15" hidden="1">
      <c r="A40" s="42"/>
      <c r="B40" s="22" t="s">
        <v>45</v>
      </c>
      <c r="C40" s="28"/>
      <c r="D40" s="22"/>
      <c r="E40" s="43"/>
      <c r="F40" s="43"/>
      <c r="G40" s="44"/>
      <c r="H40" s="11"/>
    </row>
    <row r="41" spans="1:8" ht="15" hidden="1">
      <c r="A41" s="42"/>
      <c r="B41" s="22" t="s">
        <v>47</v>
      </c>
      <c r="C41" s="28"/>
      <c r="D41" s="22"/>
      <c r="E41" s="43"/>
      <c r="F41" s="43"/>
      <c r="G41" s="44"/>
      <c r="H41" s="11"/>
    </row>
    <row r="42" spans="1:8" ht="15.75">
      <c r="A42" s="30"/>
      <c r="B42" s="103" t="s">
        <v>46</v>
      </c>
      <c r="C42" s="103"/>
      <c r="D42" s="103"/>
      <c r="E42" s="103"/>
      <c r="F42" s="103"/>
      <c r="G42" s="103"/>
      <c r="H42" s="33">
        <f>SUM(G36:G41)</f>
        <v>141331.61479999998</v>
      </c>
    </row>
    <row r="43" spans="1:8" ht="15.75">
      <c r="A43" s="30"/>
      <c r="B43" s="103" t="s">
        <v>57</v>
      </c>
      <c r="C43" s="103"/>
      <c r="D43" s="103"/>
      <c r="E43" s="103"/>
      <c r="F43" s="103"/>
      <c r="G43" s="103"/>
      <c r="H43" s="33">
        <f>H42+H34+H28+H23</f>
        <v>1396414.9268692997</v>
      </c>
    </row>
    <row r="44" spans="1:10" ht="42" customHeight="1">
      <c r="A44" s="105" t="s">
        <v>157</v>
      </c>
      <c r="B44" s="106"/>
      <c r="C44" s="106"/>
      <c r="D44" s="106"/>
      <c r="E44" s="106"/>
      <c r="F44" s="106"/>
      <c r="G44" s="106"/>
      <c r="H44" s="107"/>
      <c r="J44" s="61">
        <f>SUM(J14:J39)</f>
        <v>1396414.9268693</v>
      </c>
    </row>
    <row r="45" spans="1:8" ht="15.75" customHeight="1">
      <c r="A45" s="53"/>
      <c r="B45" s="53"/>
      <c r="C45" s="53"/>
      <c r="D45" s="53"/>
      <c r="E45" s="53"/>
      <c r="F45" s="53"/>
      <c r="G45" s="53"/>
      <c r="H45" s="53"/>
    </row>
    <row r="46" spans="1:8" ht="15.75" customHeight="1">
      <c r="A46" s="100" t="s">
        <v>165</v>
      </c>
      <c r="B46" s="100"/>
      <c r="C46" s="100"/>
      <c r="D46" s="100"/>
      <c r="E46" s="100"/>
      <c r="F46" s="100"/>
      <c r="G46" s="100"/>
      <c r="H46" s="100"/>
    </row>
    <row r="47" spans="1:8" ht="30" customHeight="1">
      <c r="A47" s="100" t="s">
        <v>120</v>
      </c>
      <c r="B47" s="100"/>
      <c r="C47" s="100"/>
      <c r="D47" s="100"/>
      <c r="E47" s="100"/>
      <c r="F47" s="100"/>
      <c r="G47" s="100"/>
      <c r="H47" s="100"/>
    </row>
    <row r="48" spans="1:8" ht="15.75" customHeight="1">
      <c r="A48" s="100" t="s">
        <v>119</v>
      </c>
      <c r="B48" s="100"/>
      <c r="C48" s="100"/>
      <c r="D48" s="100"/>
      <c r="E48" s="100"/>
      <c r="F48" s="100"/>
      <c r="G48" s="100"/>
      <c r="H48" s="100"/>
    </row>
    <row r="49" spans="1:8" ht="15.75" customHeight="1">
      <c r="A49" s="100" t="s">
        <v>121</v>
      </c>
      <c r="B49" s="100"/>
      <c r="C49" s="100"/>
      <c r="D49" s="100"/>
      <c r="E49" s="100"/>
      <c r="F49" s="100"/>
      <c r="G49" s="100"/>
      <c r="H49" s="100"/>
    </row>
    <row r="50" spans="1:8" ht="15.75">
      <c r="A50" s="54"/>
      <c r="B50" s="8"/>
      <c r="C50" s="100"/>
      <c r="D50" s="100"/>
      <c r="E50" s="100"/>
      <c r="F50" s="35"/>
      <c r="G50" s="35"/>
      <c r="H50" s="55"/>
    </row>
    <row r="51" ht="15.75">
      <c r="B51" s="7"/>
    </row>
    <row r="59" ht="15">
      <c r="H59" s="9"/>
    </row>
  </sheetData>
  <sheetProtection/>
  <mergeCells count="25">
    <mergeCell ref="A1:H5"/>
    <mergeCell ref="A6:H6"/>
    <mergeCell ref="A7:H7"/>
    <mergeCell ref="A9:H9"/>
    <mergeCell ref="C12:H12"/>
    <mergeCell ref="A8:H8"/>
    <mergeCell ref="C13:H13"/>
    <mergeCell ref="C24:H24"/>
    <mergeCell ref="C29:H29"/>
    <mergeCell ref="A47:H47"/>
    <mergeCell ref="B34:G34"/>
    <mergeCell ref="A46:H46"/>
    <mergeCell ref="B42:G42"/>
    <mergeCell ref="B28:G28"/>
    <mergeCell ref="A44:H44"/>
    <mergeCell ref="A48:H48"/>
    <mergeCell ref="A49:H49"/>
    <mergeCell ref="C50:E50"/>
    <mergeCell ref="A10:A11"/>
    <mergeCell ref="B10:B11"/>
    <mergeCell ref="C10:C11"/>
    <mergeCell ref="B23:G23"/>
    <mergeCell ref="D10:H10"/>
    <mergeCell ref="C35:H35"/>
    <mergeCell ref="B43:G43"/>
  </mergeCells>
  <printOptions/>
  <pageMargins left="0.5905511811023623" right="0.3937007874015748" top="0.3937007874015748" bottom="0.1968503937007874" header="0" footer="0"/>
  <pageSetup horizontalDpi="600" verticalDpi="600" orientation="portrait" paperSize="9" scale="70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="75" zoomScaleNormal="75" zoomScaleSheetLayoutView="75" zoomScalePageLayoutView="0" workbookViewId="0" topLeftCell="A7">
      <selection activeCell="D15" sqref="D15"/>
    </sheetView>
  </sheetViews>
  <sheetFormatPr defaultColWidth="12.57421875" defaultRowHeight="12.75"/>
  <cols>
    <col min="1" max="1" width="8.140625" style="5" customWidth="1"/>
    <col min="2" max="2" width="36.7109375" style="5" customWidth="1"/>
    <col min="3" max="3" width="16.7109375" style="15" customWidth="1"/>
    <col min="4" max="4" width="13.140625" style="5" bestFit="1" customWidth="1"/>
    <col min="5" max="5" width="14.8515625" style="5" bestFit="1" customWidth="1"/>
    <col min="6" max="6" width="14.7109375" style="5" bestFit="1" customWidth="1"/>
    <col min="7" max="7" width="13.140625" style="5" bestFit="1" customWidth="1"/>
    <col min="8" max="8" width="14.8515625" style="5" bestFit="1" customWidth="1"/>
    <col min="9" max="10" width="14.7109375" style="5" bestFit="1" customWidth="1"/>
    <col min="11" max="11" width="14.00390625" style="5" bestFit="1" customWidth="1"/>
    <col min="12" max="14" width="14.7109375" style="5" bestFit="1" customWidth="1"/>
    <col min="15" max="16384" width="12.57421875" style="5" customWidth="1"/>
  </cols>
  <sheetData>
    <row r="1" spans="1:14" ht="15.75" customHeight="1">
      <c r="A1" s="117" t="s">
        <v>117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9"/>
    </row>
    <row r="2" spans="1:14" ht="15" customHeight="1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ht="15" customHeight="1">
      <c r="A3" s="120"/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2"/>
    </row>
    <row r="4" spans="1:14" ht="15" customHeight="1">
      <c r="A4" s="120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2"/>
    </row>
    <row r="5" spans="1:14" ht="52.5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5"/>
    </row>
    <row r="6" spans="1:14" ht="33" customHeight="1">
      <c r="A6" s="126" t="s">
        <v>114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68" customFormat="1" ht="21.75" customHeight="1">
      <c r="A7" s="128" t="s">
        <v>115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</row>
    <row r="8" spans="1:14" ht="15.75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</row>
    <row r="9" spans="1:14" ht="15.75">
      <c r="A9" s="130" t="s">
        <v>11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</row>
    <row r="10" spans="1:14" ht="24" customHeight="1">
      <c r="A10" s="129" t="s">
        <v>12</v>
      </c>
      <c r="B10" s="131" t="s">
        <v>17</v>
      </c>
      <c r="C10" s="131" t="s">
        <v>116</v>
      </c>
      <c r="D10" s="93"/>
      <c r="E10" s="93"/>
      <c r="F10" s="93"/>
      <c r="G10" s="131" t="s">
        <v>39</v>
      </c>
      <c r="H10" s="131"/>
      <c r="I10" s="131"/>
      <c r="J10" s="131"/>
      <c r="K10" s="131"/>
      <c r="L10" s="131"/>
      <c r="M10" s="131"/>
      <c r="N10" s="131"/>
    </row>
    <row r="11" spans="1:14" ht="49.5" customHeight="1">
      <c r="A11" s="129"/>
      <c r="B11" s="131"/>
      <c r="C11" s="131"/>
      <c r="D11" s="93" t="s">
        <v>122</v>
      </c>
      <c r="E11" s="93" t="s">
        <v>123</v>
      </c>
      <c r="F11" s="93" t="s">
        <v>124</v>
      </c>
      <c r="G11" s="92" t="s">
        <v>31</v>
      </c>
      <c r="H11" s="92" t="s">
        <v>73</v>
      </c>
      <c r="I11" s="92" t="s">
        <v>74</v>
      </c>
      <c r="J11" s="92" t="s">
        <v>75</v>
      </c>
      <c r="K11" s="92" t="s">
        <v>76</v>
      </c>
      <c r="L11" s="92" t="s">
        <v>77</v>
      </c>
      <c r="M11" s="92" t="s">
        <v>78</v>
      </c>
      <c r="N11" s="92" t="s">
        <v>79</v>
      </c>
    </row>
    <row r="12" spans="1:14" ht="18" customHeight="1">
      <c r="A12" s="133">
        <v>1</v>
      </c>
      <c r="B12" s="134" t="s">
        <v>13</v>
      </c>
      <c r="C12" s="11">
        <f>'Planilha Orçamentaria'!H23</f>
        <v>28520.3496693</v>
      </c>
      <c r="D12" s="10">
        <v>0</v>
      </c>
      <c r="E12" s="10">
        <v>0</v>
      </c>
      <c r="F12" s="10">
        <v>0</v>
      </c>
      <c r="G12" s="10">
        <f>C12*0.25</f>
        <v>7130.087417325</v>
      </c>
      <c r="H12" s="10">
        <f>C12*0.25</f>
        <v>7130.087417325</v>
      </c>
      <c r="I12" s="10">
        <f>C12*0.1</f>
        <v>2852.0349669300003</v>
      </c>
      <c r="J12" s="10">
        <f>C12*0.1</f>
        <v>2852.0349669300003</v>
      </c>
      <c r="K12" s="10">
        <f>C12*0.1</f>
        <v>2852.0349669300003</v>
      </c>
      <c r="L12" s="10">
        <f>C12*0.1</f>
        <v>2852.0349669300003</v>
      </c>
      <c r="M12" s="10">
        <f>C12*0.1</f>
        <v>2852.0349669300003</v>
      </c>
      <c r="N12" s="10">
        <f>SUM(G12:M12)</f>
        <v>28520.349669300005</v>
      </c>
    </row>
    <row r="13" spans="1:14" ht="18" customHeight="1">
      <c r="A13" s="133"/>
      <c r="B13" s="134"/>
      <c r="C13" s="39">
        <f>C12/C21</f>
        <v>0.02042397937784965</v>
      </c>
      <c r="D13" s="40">
        <v>0</v>
      </c>
      <c r="E13" s="40">
        <v>0</v>
      </c>
      <c r="F13" s="40">
        <v>0</v>
      </c>
      <c r="G13" s="40">
        <f>G12/C12</f>
        <v>0.25</v>
      </c>
      <c r="H13" s="40">
        <f>H12/C12</f>
        <v>0.25</v>
      </c>
      <c r="I13" s="40">
        <v>0.1</v>
      </c>
      <c r="J13" s="40">
        <v>0.1</v>
      </c>
      <c r="K13" s="40">
        <f>K12/C12</f>
        <v>0.1</v>
      </c>
      <c r="L13" s="40">
        <v>0.1</v>
      </c>
      <c r="M13" s="40">
        <v>0.1</v>
      </c>
      <c r="N13" s="50">
        <f>SUM(G13:M13)</f>
        <v>0.9999999999999999</v>
      </c>
    </row>
    <row r="14" spans="1:14" ht="18" customHeight="1">
      <c r="A14" s="133">
        <v>2</v>
      </c>
      <c r="B14" s="134" t="s">
        <v>80</v>
      </c>
      <c r="C14" s="19">
        <f>'Planilha Orçamentaria'!H28</f>
        <v>0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18" customHeight="1">
      <c r="A15" s="133"/>
      <c r="B15" s="134"/>
      <c r="C15" s="39">
        <f>C14/C21</f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f>C14</f>
        <v>0</v>
      </c>
    </row>
    <row r="16" spans="1:14" ht="18" customHeight="1">
      <c r="A16" s="133">
        <v>3</v>
      </c>
      <c r="B16" s="134" t="s">
        <v>32</v>
      </c>
      <c r="C16" s="19">
        <f>'Planilha Orçamentaria'!H34</f>
        <v>1226562.9623999998</v>
      </c>
      <c r="D16" s="41">
        <v>0</v>
      </c>
      <c r="E16" s="41">
        <v>0</v>
      </c>
      <c r="F16" s="41">
        <v>0</v>
      </c>
      <c r="G16" s="41"/>
      <c r="H16" s="41"/>
      <c r="I16" s="41">
        <f>C16*0.1</f>
        <v>122656.29624</v>
      </c>
      <c r="J16" s="41">
        <f>C16*0.2</f>
        <v>245312.59248</v>
      </c>
      <c r="K16" s="41">
        <f>C16*0.2</f>
        <v>245312.59248</v>
      </c>
      <c r="L16" s="41">
        <f>C16*0.25</f>
        <v>306640.74059999996</v>
      </c>
      <c r="M16" s="41">
        <f>C16*0.25</f>
        <v>306640.74059999996</v>
      </c>
      <c r="N16" s="41">
        <f>SUM(K16:M16)</f>
        <v>858594.0736799999</v>
      </c>
    </row>
    <row r="17" spans="1:14" ht="18" customHeight="1">
      <c r="A17" s="133"/>
      <c r="B17" s="134"/>
      <c r="C17" s="39">
        <f>C16/C21</f>
        <v>0.8783656911702452</v>
      </c>
      <c r="D17" s="40">
        <v>0</v>
      </c>
      <c r="E17" s="40">
        <v>0</v>
      </c>
      <c r="F17" s="40">
        <v>0</v>
      </c>
      <c r="G17" s="40"/>
      <c r="H17" s="40"/>
      <c r="I17" s="40">
        <v>0.1</v>
      </c>
      <c r="J17" s="40">
        <v>0.2</v>
      </c>
      <c r="K17" s="40">
        <v>0.2</v>
      </c>
      <c r="L17" s="40">
        <v>0.25</v>
      </c>
      <c r="M17" s="40">
        <v>0.25</v>
      </c>
      <c r="N17" s="50">
        <f>SUM(I17:M17)</f>
        <v>1</v>
      </c>
    </row>
    <row r="18" spans="1:14" ht="18" customHeight="1">
      <c r="A18" s="133">
        <v>4</v>
      </c>
      <c r="B18" s="134" t="s">
        <v>72</v>
      </c>
      <c r="C18" s="19">
        <f>'Planilha Orçamentaria'!H42</f>
        <v>141331.61479999998</v>
      </c>
      <c r="D18" s="41">
        <v>0</v>
      </c>
      <c r="E18" s="41">
        <v>0</v>
      </c>
      <c r="F18" s="41">
        <v>0</v>
      </c>
      <c r="G18" s="41">
        <f>C18*0.3</f>
        <v>42399.48443999999</v>
      </c>
      <c r="H18" s="41">
        <f>C18*0.5</f>
        <v>70665.80739999999</v>
      </c>
      <c r="I18" s="41">
        <f>C18*0.2</f>
        <v>28266.322959999998</v>
      </c>
      <c r="J18" s="41"/>
      <c r="K18" s="41"/>
      <c r="L18" s="41"/>
      <c r="M18" s="41"/>
      <c r="N18" s="41">
        <f>SUM(G18:L18)</f>
        <v>141331.61479999998</v>
      </c>
    </row>
    <row r="19" spans="1:14" ht="18" customHeight="1">
      <c r="A19" s="133"/>
      <c r="B19" s="134"/>
      <c r="C19" s="39">
        <f>C18/C21</f>
        <v>0.10121032945190524</v>
      </c>
      <c r="D19" s="40">
        <v>0</v>
      </c>
      <c r="E19" s="40">
        <v>0</v>
      </c>
      <c r="F19" s="40">
        <v>0</v>
      </c>
      <c r="G19" s="40">
        <f>G18/C18</f>
        <v>0.3</v>
      </c>
      <c r="H19" s="40">
        <f>H18/C18</f>
        <v>0.5</v>
      </c>
      <c r="I19" s="40">
        <f>I18/C18</f>
        <v>0.2</v>
      </c>
      <c r="J19" s="40"/>
      <c r="K19" s="40"/>
      <c r="L19" s="40"/>
      <c r="M19" s="40"/>
      <c r="N19" s="50">
        <f>SUM(G19:L19)</f>
        <v>1</v>
      </c>
    </row>
    <row r="20" spans="1:14" ht="18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</row>
    <row r="21" spans="1:14" ht="19.5" customHeight="1">
      <c r="A21" s="46"/>
      <c r="B21" s="10" t="s">
        <v>14</v>
      </c>
      <c r="C21" s="51">
        <f>C12+C14+C16+C18</f>
        <v>1396414.9268692997</v>
      </c>
      <c r="D21" s="10">
        <f>D12+D16+D18</f>
        <v>0</v>
      </c>
      <c r="E21" s="10">
        <f>E12+E16+E18</f>
        <v>0</v>
      </c>
      <c r="F21" s="10">
        <f>F12+F16+F18</f>
        <v>0</v>
      </c>
      <c r="G21" s="10">
        <f aca="true" t="shared" si="0" ref="G21:M21">G12+G16+G18</f>
        <v>49529.57185732499</v>
      </c>
      <c r="H21" s="10">
        <f t="shared" si="0"/>
        <v>77795.894817325</v>
      </c>
      <c r="I21" s="10">
        <f t="shared" si="0"/>
        <v>153774.65416693</v>
      </c>
      <c r="J21" s="10">
        <f t="shared" si="0"/>
        <v>248164.62744692998</v>
      </c>
      <c r="K21" s="10">
        <f t="shared" si="0"/>
        <v>248164.62744692998</v>
      </c>
      <c r="L21" s="10">
        <f t="shared" si="0"/>
        <v>309492.77556692995</v>
      </c>
      <c r="M21" s="10">
        <f t="shared" si="0"/>
        <v>309492.77556692995</v>
      </c>
      <c r="N21" s="10">
        <f>SUM(G21:M21)</f>
        <v>1396414.9268692997</v>
      </c>
    </row>
    <row r="22" spans="1:14" ht="19.5" customHeight="1">
      <c r="A22" s="46"/>
      <c r="B22" s="10" t="s">
        <v>15</v>
      </c>
      <c r="C22" s="52">
        <f>C13+C15+C17+C19</f>
        <v>1.0000000000000002</v>
      </c>
      <c r="D22" s="10">
        <f>D21</f>
        <v>0</v>
      </c>
      <c r="E22" s="10">
        <f>D22+E21</f>
        <v>0</v>
      </c>
      <c r="F22" s="10">
        <f>E22+F21</f>
        <v>0</v>
      </c>
      <c r="G22" s="10">
        <f>G21</f>
        <v>49529.57185732499</v>
      </c>
      <c r="H22" s="10">
        <f>G22+H21</f>
        <v>127325.46667464999</v>
      </c>
      <c r="I22" s="10">
        <f>H22+I21</f>
        <v>281100.12084158</v>
      </c>
      <c r="J22" s="10">
        <f>J21+I22</f>
        <v>529264.7482885099</v>
      </c>
      <c r="K22" s="10">
        <f>K21+J22</f>
        <v>777429.3757354398</v>
      </c>
      <c r="L22" s="10">
        <f>K22+L21</f>
        <v>1086922.1513023698</v>
      </c>
      <c r="M22" s="10">
        <f>L22+M21</f>
        <v>1396414.9268692997</v>
      </c>
      <c r="N22" s="69">
        <f>N21/C21</f>
        <v>1</v>
      </c>
    </row>
    <row r="25" spans="1:14" ht="15.75" customHeight="1">
      <c r="A25" s="132" t="s">
        <v>165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2:3" ht="15.75">
      <c r="B26" s="136"/>
      <c r="C26" s="136"/>
    </row>
    <row r="27" spans="1:14" ht="15.75" customHeight="1">
      <c r="A27" s="132" t="s">
        <v>125</v>
      </c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</row>
    <row r="28" spans="1:14" ht="15.75" customHeight="1">
      <c r="A28" s="132" t="s">
        <v>119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</row>
    <row r="29" spans="1:14" ht="15.75" customHeight="1">
      <c r="A29" s="132" t="s">
        <v>121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</row>
    <row r="30" spans="2:3" ht="15">
      <c r="B30" s="132"/>
      <c r="C30" s="132"/>
    </row>
    <row r="31" spans="2:3" ht="15">
      <c r="B31" s="16"/>
      <c r="C31" s="6"/>
    </row>
    <row r="32" spans="2:3" ht="15">
      <c r="B32" s="132"/>
      <c r="C32" s="132"/>
    </row>
    <row r="33" spans="1:2" ht="15">
      <c r="A33" s="132"/>
      <c r="B33" s="132"/>
    </row>
  </sheetData>
  <sheetProtection/>
  <mergeCells count="26">
    <mergeCell ref="B14:B15"/>
    <mergeCell ref="A16:A17"/>
    <mergeCell ref="G10:N10"/>
    <mergeCell ref="C10:C11"/>
    <mergeCell ref="B32:C32"/>
    <mergeCell ref="A20:N20"/>
    <mergeCell ref="B26:C26"/>
    <mergeCell ref="A28:N28"/>
    <mergeCell ref="A29:N29"/>
    <mergeCell ref="A33:B33"/>
    <mergeCell ref="B30:C30"/>
    <mergeCell ref="A12:A13"/>
    <mergeCell ref="B12:B13"/>
    <mergeCell ref="A14:A15"/>
    <mergeCell ref="B16:B17"/>
    <mergeCell ref="A18:A19"/>
    <mergeCell ref="B18:B19"/>
    <mergeCell ref="A25:N25"/>
    <mergeCell ref="A27:N27"/>
    <mergeCell ref="A1:N5"/>
    <mergeCell ref="A6:N6"/>
    <mergeCell ref="A7:N7"/>
    <mergeCell ref="A8:N8"/>
    <mergeCell ref="A9:N9"/>
    <mergeCell ref="B10:B11"/>
    <mergeCell ref="A10:A1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view="pageBreakPreview" zoomScaleNormal="78" zoomScaleSheetLayoutView="100" zoomScalePageLayoutView="0" workbookViewId="0" topLeftCell="A1">
      <selection activeCell="B14" sqref="B14"/>
    </sheetView>
  </sheetViews>
  <sheetFormatPr defaultColWidth="9.140625" defaultRowHeight="12.75"/>
  <cols>
    <col min="1" max="1" width="8.7109375" style="5" customWidth="1"/>
    <col min="2" max="2" width="36.7109375" style="18" customWidth="1"/>
    <col min="3" max="3" width="7.00390625" style="9" bestFit="1" customWidth="1"/>
    <col min="4" max="4" width="38.421875" style="23" customWidth="1"/>
    <col min="5" max="6" width="12.7109375" style="21" bestFit="1" customWidth="1"/>
    <col min="7" max="7" width="12.7109375" style="9" bestFit="1" customWidth="1"/>
    <col min="8" max="8" width="9.140625" style="5" customWidth="1"/>
    <col min="9" max="9" width="10.140625" style="5" bestFit="1" customWidth="1"/>
    <col min="10" max="16384" width="9.140625" style="5" customWidth="1"/>
  </cols>
  <sheetData>
    <row r="1" spans="1:6" ht="15.75" customHeight="1">
      <c r="A1" s="108"/>
      <c r="B1" s="108"/>
      <c r="C1" s="108"/>
      <c r="D1" s="108"/>
      <c r="E1" s="108"/>
      <c r="F1" s="108"/>
    </row>
    <row r="2" spans="1:6" ht="15">
      <c r="A2" s="108"/>
      <c r="B2" s="108"/>
      <c r="C2" s="108"/>
      <c r="D2" s="108"/>
      <c r="E2" s="108"/>
      <c r="F2" s="108"/>
    </row>
    <row r="3" spans="1:6" ht="15">
      <c r="A3" s="108"/>
      <c r="B3" s="108"/>
      <c r="C3" s="108"/>
      <c r="D3" s="108"/>
      <c r="E3" s="108"/>
      <c r="F3" s="108"/>
    </row>
    <row r="4" spans="1:6" ht="15">
      <c r="A4" s="108"/>
      <c r="B4" s="108"/>
      <c r="C4" s="108"/>
      <c r="D4" s="108"/>
      <c r="E4" s="108"/>
      <c r="F4" s="108"/>
    </row>
    <row r="5" spans="1:6" ht="15">
      <c r="A5" s="108"/>
      <c r="B5" s="108"/>
      <c r="C5" s="108"/>
      <c r="D5" s="108"/>
      <c r="E5" s="108"/>
      <c r="F5" s="108"/>
    </row>
    <row r="6" spans="1:6" ht="17.25" customHeight="1">
      <c r="A6" s="109" t="s">
        <v>83</v>
      </c>
      <c r="B6" s="109"/>
      <c r="C6" s="109"/>
      <c r="D6" s="109"/>
      <c r="E6" s="109"/>
      <c r="F6" s="109"/>
    </row>
    <row r="7" spans="1:7" s="8" customFormat="1" ht="62.25" customHeight="1">
      <c r="A7" s="110" t="s">
        <v>118</v>
      </c>
      <c r="B7" s="111"/>
      <c r="C7" s="111"/>
      <c r="D7" s="111"/>
      <c r="E7" s="111"/>
      <c r="F7" s="112"/>
      <c r="G7" s="12"/>
    </row>
    <row r="8" spans="1:6" ht="21.75" customHeight="1">
      <c r="A8" s="150" t="s">
        <v>25</v>
      </c>
      <c r="B8" s="150"/>
      <c r="C8" s="150"/>
      <c r="D8" s="150"/>
      <c r="E8" s="150"/>
      <c r="F8" s="150"/>
    </row>
    <row r="9" spans="1:6" ht="15.75">
      <c r="A9" s="1" t="s">
        <v>1</v>
      </c>
      <c r="B9" s="1" t="s">
        <v>20</v>
      </c>
      <c r="C9" s="1" t="s">
        <v>9</v>
      </c>
      <c r="D9" s="143" t="s">
        <v>82</v>
      </c>
      <c r="E9" s="144"/>
      <c r="F9" s="3" t="s">
        <v>23</v>
      </c>
    </row>
    <row r="10" spans="1:6" ht="15.75">
      <c r="A10" s="98" t="s">
        <v>49</v>
      </c>
      <c r="B10" s="141" t="s">
        <v>50</v>
      </c>
      <c r="C10" s="141"/>
      <c r="D10" s="141"/>
      <c r="E10" s="141"/>
      <c r="F10" s="141"/>
    </row>
    <row r="11" spans="1:6" ht="15.75">
      <c r="A11" s="4">
        <v>1</v>
      </c>
      <c r="B11" s="151" t="s">
        <v>2</v>
      </c>
      <c r="C11" s="152"/>
      <c r="D11" s="152"/>
      <c r="E11" s="152"/>
      <c r="F11" s="153"/>
    </row>
    <row r="12" spans="1:6" ht="30">
      <c r="A12" s="97" t="s">
        <v>3</v>
      </c>
      <c r="B12" s="64" t="s">
        <v>21</v>
      </c>
      <c r="C12" s="97" t="s">
        <v>4</v>
      </c>
      <c r="D12" s="70" t="s">
        <v>94</v>
      </c>
      <c r="E12" s="71">
        <f>2*4</f>
        <v>8</v>
      </c>
      <c r="F12" s="71">
        <f aca="true" t="shared" si="0" ref="F12:F20">E12</f>
        <v>8</v>
      </c>
    </row>
    <row r="13" spans="1:6" ht="60">
      <c r="A13" s="99" t="s">
        <v>5</v>
      </c>
      <c r="B13" s="65" t="s">
        <v>18</v>
      </c>
      <c r="C13" s="66" t="s">
        <v>16</v>
      </c>
      <c r="D13" s="58" t="s">
        <v>160</v>
      </c>
      <c r="E13" s="58">
        <v>0.33333</v>
      </c>
      <c r="F13" s="58">
        <f t="shared" si="0"/>
        <v>0.33333</v>
      </c>
    </row>
    <row r="14" spans="1:6" ht="75">
      <c r="A14" s="99" t="s">
        <v>34</v>
      </c>
      <c r="B14" s="28" t="s">
        <v>126</v>
      </c>
      <c r="C14" s="66" t="s">
        <v>16</v>
      </c>
      <c r="D14" s="58" t="s">
        <v>164</v>
      </c>
      <c r="E14" s="58">
        <f>1*7</f>
        <v>7</v>
      </c>
      <c r="F14" s="58">
        <f>E14</f>
        <v>7</v>
      </c>
    </row>
    <row r="15" spans="1:6" ht="45">
      <c r="A15" s="99" t="s">
        <v>58</v>
      </c>
      <c r="B15" s="28" t="s">
        <v>128</v>
      </c>
      <c r="C15" s="66" t="s">
        <v>16</v>
      </c>
      <c r="D15" s="58" t="s">
        <v>164</v>
      </c>
      <c r="E15" s="58">
        <f>1*7</f>
        <v>7</v>
      </c>
      <c r="F15" s="58">
        <f>E15</f>
        <v>7</v>
      </c>
    </row>
    <row r="16" spans="1:6" ht="45">
      <c r="A16" s="99" t="s">
        <v>65</v>
      </c>
      <c r="B16" s="28" t="s">
        <v>86</v>
      </c>
      <c r="C16" s="72" t="s">
        <v>0</v>
      </c>
      <c r="D16" s="57" t="s">
        <v>163</v>
      </c>
      <c r="E16" s="57">
        <f>30.43+20.12+20.12</f>
        <v>70.67</v>
      </c>
      <c r="F16" s="57">
        <f t="shared" si="0"/>
        <v>70.67</v>
      </c>
    </row>
    <row r="17" spans="1:6" ht="90">
      <c r="A17" s="99" t="s">
        <v>66</v>
      </c>
      <c r="B17" s="28" t="s">
        <v>132</v>
      </c>
      <c r="C17" s="72" t="s">
        <v>0</v>
      </c>
      <c r="D17" s="57" t="s">
        <v>162</v>
      </c>
      <c r="E17" s="57">
        <v>8</v>
      </c>
      <c r="F17" s="57">
        <f>E17</f>
        <v>8</v>
      </c>
    </row>
    <row r="18" spans="1:6" ht="60">
      <c r="A18" s="99" t="s">
        <v>129</v>
      </c>
      <c r="B18" s="28" t="s">
        <v>136</v>
      </c>
      <c r="C18" s="72" t="s">
        <v>0</v>
      </c>
      <c r="D18" s="57" t="s">
        <v>162</v>
      </c>
      <c r="E18" s="57">
        <v>8</v>
      </c>
      <c r="F18" s="57">
        <f>E18</f>
        <v>8</v>
      </c>
    </row>
    <row r="19" spans="1:6" ht="75">
      <c r="A19" s="99" t="s">
        <v>130</v>
      </c>
      <c r="B19" s="28" t="s">
        <v>137</v>
      </c>
      <c r="C19" s="72" t="s">
        <v>0</v>
      </c>
      <c r="D19" s="57" t="s">
        <v>162</v>
      </c>
      <c r="E19" s="57">
        <v>8</v>
      </c>
      <c r="F19" s="57">
        <f>E19</f>
        <v>8</v>
      </c>
    </row>
    <row r="20" spans="1:6" ht="30">
      <c r="A20" s="99" t="s">
        <v>133</v>
      </c>
      <c r="B20" s="28" t="s">
        <v>68</v>
      </c>
      <c r="C20" s="72" t="s">
        <v>48</v>
      </c>
      <c r="D20" s="57" t="s">
        <v>161</v>
      </c>
      <c r="E20" s="57">
        <v>2</v>
      </c>
      <c r="F20" s="57">
        <f t="shared" si="0"/>
        <v>2</v>
      </c>
    </row>
    <row r="21" spans="1:6" ht="15">
      <c r="A21" s="140"/>
      <c r="B21" s="140"/>
      <c r="C21" s="140"/>
      <c r="D21" s="140"/>
      <c r="E21" s="140"/>
      <c r="F21" s="140"/>
    </row>
    <row r="22" spans="1:6" ht="15.75">
      <c r="A22" s="98">
        <v>2</v>
      </c>
      <c r="B22" s="147" t="s">
        <v>37</v>
      </c>
      <c r="C22" s="148"/>
      <c r="D22" s="148"/>
      <c r="E22" s="148"/>
      <c r="F22" s="149"/>
    </row>
    <row r="23" spans="1:6" ht="45">
      <c r="A23" s="96" t="s">
        <v>29</v>
      </c>
      <c r="B23" s="28" t="s">
        <v>69</v>
      </c>
      <c r="C23" s="96" t="s">
        <v>22</v>
      </c>
      <c r="D23" s="95" t="s">
        <v>38</v>
      </c>
      <c r="E23" s="58">
        <v>0</v>
      </c>
      <c r="F23" s="58">
        <v>0</v>
      </c>
    </row>
    <row r="24" spans="1:6" ht="45">
      <c r="A24" s="96" t="s">
        <v>30</v>
      </c>
      <c r="B24" s="28" t="s">
        <v>71</v>
      </c>
      <c r="C24" s="96" t="s">
        <v>22</v>
      </c>
      <c r="D24" s="95" t="s">
        <v>38</v>
      </c>
      <c r="E24" s="58">
        <v>0</v>
      </c>
      <c r="F24" s="58">
        <v>0</v>
      </c>
    </row>
    <row r="25" spans="1:6" ht="30">
      <c r="A25" s="96" t="s">
        <v>70</v>
      </c>
      <c r="B25" s="28" t="s">
        <v>67</v>
      </c>
      <c r="C25" s="96" t="s">
        <v>4</v>
      </c>
      <c r="D25" s="95" t="s">
        <v>38</v>
      </c>
      <c r="E25" s="58">
        <v>0</v>
      </c>
      <c r="F25" s="58">
        <v>0</v>
      </c>
    </row>
    <row r="26" spans="1:6" ht="15">
      <c r="A26" s="140"/>
      <c r="B26" s="140"/>
      <c r="C26" s="140"/>
      <c r="D26" s="140"/>
      <c r="E26" s="140"/>
      <c r="F26" s="140"/>
    </row>
    <row r="27" spans="1:11" ht="15.75">
      <c r="A27" s="98">
        <v>3</v>
      </c>
      <c r="B27" s="147" t="s">
        <v>32</v>
      </c>
      <c r="C27" s="148"/>
      <c r="D27" s="148"/>
      <c r="E27" s="148"/>
      <c r="F27" s="149"/>
      <c r="I27" s="9"/>
      <c r="K27" s="9"/>
    </row>
    <row r="28" spans="1:6" ht="45">
      <c r="A28" s="140" t="s">
        <v>40</v>
      </c>
      <c r="B28" s="28" t="s">
        <v>88</v>
      </c>
      <c r="C28" s="140" t="s">
        <v>0</v>
      </c>
      <c r="D28" s="145" t="s">
        <v>81</v>
      </c>
      <c r="E28" s="73"/>
      <c r="F28" s="74"/>
    </row>
    <row r="29" spans="1:11" ht="15.75">
      <c r="A29" s="140"/>
      <c r="B29" s="94" t="s">
        <v>61</v>
      </c>
      <c r="C29" s="140"/>
      <c r="D29" s="146"/>
      <c r="E29" s="75"/>
      <c r="F29" s="76"/>
      <c r="I29" s="9"/>
      <c r="K29" s="9"/>
    </row>
    <row r="30" spans="1:11" ht="75">
      <c r="A30" s="140"/>
      <c r="B30" s="28" t="s">
        <v>95</v>
      </c>
      <c r="C30" s="140"/>
      <c r="D30" s="37" t="s">
        <v>96</v>
      </c>
      <c r="E30" s="77">
        <f>3.57+3.14+41.44+3.14+198.48+3.14+43.14+3.14+3.14+43.29+3.14+18.48</f>
        <v>367.23999999999995</v>
      </c>
      <c r="F30" s="76"/>
      <c r="I30" s="9"/>
      <c r="K30" s="9"/>
    </row>
    <row r="31" spans="1:11" ht="15.75">
      <c r="A31" s="140"/>
      <c r="B31" s="94" t="s">
        <v>59</v>
      </c>
      <c r="C31" s="140"/>
      <c r="D31" s="78"/>
      <c r="E31" s="79"/>
      <c r="F31" s="80">
        <f>E30+E32+E33+E34</f>
        <v>575.1999999999998</v>
      </c>
      <c r="I31" s="9"/>
      <c r="K31" s="9"/>
    </row>
    <row r="32" spans="1:11" ht="54" customHeight="1">
      <c r="A32" s="140"/>
      <c r="B32" s="28" t="s">
        <v>95</v>
      </c>
      <c r="C32" s="140"/>
      <c r="D32" s="37" t="s">
        <v>97</v>
      </c>
      <c r="E32" s="57">
        <f>7.5+7.5+26.8+18.94+22.24+7.5+7.5+15.72+7.5+7.5+8.25+24.2</f>
        <v>161.14999999999998</v>
      </c>
      <c r="F32" s="76"/>
      <c r="I32" s="9"/>
      <c r="K32" s="9"/>
    </row>
    <row r="33" spans="1:11" ht="19.5" customHeight="1">
      <c r="A33" s="140"/>
      <c r="B33" s="28" t="s">
        <v>64</v>
      </c>
      <c r="C33" s="140"/>
      <c r="D33" s="36" t="s">
        <v>98</v>
      </c>
      <c r="E33" s="57">
        <f>8+8.5</f>
        <v>16.5</v>
      </c>
      <c r="F33" s="76"/>
      <c r="I33" s="9"/>
      <c r="K33" s="9"/>
    </row>
    <row r="34" spans="1:11" ht="19.5" customHeight="1">
      <c r="A34" s="140"/>
      <c r="B34" s="28" t="s">
        <v>60</v>
      </c>
      <c r="C34" s="140"/>
      <c r="D34" s="36" t="s">
        <v>99</v>
      </c>
      <c r="E34" s="57">
        <f>8+22.31</f>
        <v>30.31</v>
      </c>
      <c r="F34" s="76"/>
      <c r="I34" s="9"/>
      <c r="K34" s="9"/>
    </row>
    <row r="35" spans="1:11" ht="75">
      <c r="A35" s="140" t="s">
        <v>41</v>
      </c>
      <c r="B35" s="28" t="s">
        <v>90</v>
      </c>
      <c r="C35" s="140" t="s">
        <v>4</v>
      </c>
      <c r="D35" s="138" t="s">
        <v>81</v>
      </c>
      <c r="E35" s="139"/>
      <c r="F35" s="81"/>
      <c r="I35" s="9"/>
      <c r="K35" s="9"/>
    </row>
    <row r="36" spans="1:11" ht="49.5" customHeight="1">
      <c r="A36" s="140"/>
      <c r="B36" s="28" t="s">
        <v>95</v>
      </c>
      <c r="C36" s="140"/>
      <c r="D36" s="37" t="s">
        <v>159</v>
      </c>
      <c r="E36" s="71">
        <f>1481.77+312.01+1344.29+1067.48+1103.19</f>
        <v>5308.74</v>
      </c>
      <c r="F36" s="82">
        <f>E36+E37+E38+E39+E40</f>
        <v>8289.6</v>
      </c>
      <c r="I36" s="9"/>
      <c r="K36" s="9"/>
    </row>
    <row r="37" spans="1:11" ht="19.5" customHeight="1">
      <c r="A37" s="140"/>
      <c r="B37" s="28" t="s">
        <v>63</v>
      </c>
      <c r="C37" s="140"/>
      <c r="D37" s="36" t="s">
        <v>100</v>
      </c>
      <c r="E37" s="71">
        <v>1119.42</v>
      </c>
      <c r="F37" s="83"/>
      <c r="I37" s="9"/>
      <c r="K37" s="9"/>
    </row>
    <row r="38" spans="1:11" ht="19.5" customHeight="1">
      <c r="A38" s="140"/>
      <c r="B38" s="28" t="s">
        <v>64</v>
      </c>
      <c r="C38" s="140"/>
      <c r="D38" s="36" t="s">
        <v>101</v>
      </c>
      <c r="E38" s="71">
        <v>1066.01</v>
      </c>
      <c r="F38" s="83"/>
      <c r="I38" s="9"/>
      <c r="K38" s="9"/>
    </row>
    <row r="39" spans="1:11" ht="19.5" customHeight="1">
      <c r="A39" s="140"/>
      <c r="B39" s="28" t="s">
        <v>62</v>
      </c>
      <c r="C39" s="140"/>
      <c r="D39" s="36" t="s">
        <v>102</v>
      </c>
      <c r="E39" s="71">
        <v>293.29</v>
      </c>
      <c r="F39" s="83"/>
      <c r="I39" s="9"/>
      <c r="K39" s="9"/>
    </row>
    <row r="40" spans="1:11" ht="19.5" customHeight="1">
      <c r="A40" s="140"/>
      <c r="B40" s="28" t="s">
        <v>60</v>
      </c>
      <c r="C40" s="140"/>
      <c r="D40" s="36" t="s">
        <v>103</v>
      </c>
      <c r="E40" s="82">
        <v>502.14</v>
      </c>
      <c r="F40" s="84"/>
      <c r="I40" s="9"/>
      <c r="K40" s="9"/>
    </row>
    <row r="41" spans="1:11" ht="46.5" customHeight="1">
      <c r="A41" s="140" t="s">
        <v>42</v>
      </c>
      <c r="B41" s="28" t="s">
        <v>92</v>
      </c>
      <c r="C41" s="140" t="s">
        <v>0</v>
      </c>
      <c r="D41" s="138" t="s">
        <v>81</v>
      </c>
      <c r="E41" s="139"/>
      <c r="F41" s="81"/>
      <c r="I41" s="9"/>
      <c r="K41" s="9"/>
    </row>
    <row r="42" spans="1:11" ht="124.5" customHeight="1">
      <c r="A42" s="140"/>
      <c r="B42" s="28" t="s">
        <v>95</v>
      </c>
      <c r="C42" s="140"/>
      <c r="D42" s="37" t="s">
        <v>138</v>
      </c>
      <c r="E42" s="71">
        <f>(3.57+198.48+18.48+100.64+39.6+7.72+10.41+5.29+33.92+6.26+13.4+42.04+97.92+16.16+3.14+41.44+3.14+3.14+43.14+3.14+3.14+43.29+3.14+3.3+98.03+98.03+3.3+3.3+41.11+41.11+3.3+56.55)</f>
        <v>1088.6299999999997</v>
      </c>
      <c r="F42" s="82"/>
      <c r="I42" s="9"/>
      <c r="K42" s="9"/>
    </row>
    <row r="43" spans="1:11" ht="54" customHeight="1">
      <c r="A43" s="140"/>
      <c r="B43" s="28" t="s">
        <v>63</v>
      </c>
      <c r="C43" s="140"/>
      <c r="D43" s="37" t="s">
        <v>139</v>
      </c>
      <c r="E43" s="71">
        <f>(29.17+143.6+9.84+13.85+120.15+12.59+12.08)</f>
        <v>341.28</v>
      </c>
      <c r="F43" s="82">
        <f>E42+E43+E44+E45+E46</f>
        <v>1940.6799999999998</v>
      </c>
      <c r="I43" s="9"/>
      <c r="K43" s="9"/>
    </row>
    <row r="44" spans="1:11" ht="48.75" customHeight="1">
      <c r="A44" s="140"/>
      <c r="B44" s="28" t="s">
        <v>64</v>
      </c>
      <c r="C44" s="140"/>
      <c r="D44" s="37" t="s">
        <v>140</v>
      </c>
      <c r="E44" s="71">
        <f>50.59+10.84+85.88+7.72+56.05+106.68</f>
        <v>317.76</v>
      </c>
      <c r="F44" s="83"/>
      <c r="I44" s="9"/>
      <c r="K44" s="9"/>
    </row>
    <row r="45" spans="1:11" ht="48.75" customHeight="1">
      <c r="A45" s="140"/>
      <c r="B45" s="28" t="s">
        <v>62</v>
      </c>
      <c r="C45" s="140"/>
      <c r="D45" s="37" t="s">
        <v>141</v>
      </c>
      <c r="E45" s="71">
        <f>8.51+16.16+12.76+9.03+20.25+9.4</f>
        <v>76.11000000000001</v>
      </c>
      <c r="F45" s="83"/>
      <c r="I45" s="9"/>
      <c r="K45" s="9"/>
    </row>
    <row r="46" spans="1:11" ht="19.5" customHeight="1">
      <c r="A46" s="140"/>
      <c r="B46" s="28" t="s">
        <v>60</v>
      </c>
      <c r="C46" s="140"/>
      <c r="D46" s="36" t="s">
        <v>142</v>
      </c>
      <c r="E46" s="82">
        <f>34.59+32.63+36.57+13.11</f>
        <v>116.89999999999999</v>
      </c>
      <c r="F46" s="84"/>
      <c r="I46" s="9"/>
      <c r="K46" s="9"/>
    </row>
    <row r="47" spans="1:11" ht="45">
      <c r="A47" s="140" t="s">
        <v>144</v>
      </c>
      <c r="B47" s="28" t="s">
        <v>145</v>
      </c>
      <c r="C47" s="140" t="s">
        <v>4</v>
      </c>
      <c r="D47" s="138" t="s">
        <v>81</v>
      </c>
      <c r="E47" s="139"/>
      <c r="F47" s="81"/>
      <c r="I47" s="9"/>
      <c r="K47" s="9"/>
    </row>
    <row r="48" spans="1:11" ht="98.25" customHeight="1">
      <c r="A48" s="140"/>
      <c r="B48" s="154" t="s">
        <v>147</v>
      </c>
      <c r="C48" s="140"/>
      <c r="D48" s="37" t="s">
        <v>146</v>
      </c>
      <c r="E48" s="71">
        <f>(3.57+217.02+100.64+39.6+7.72+13.4+42.04+6.67+10.93+97.92+17.35+29.79+15.28+14.87+33+12.58+12.57+35.01+14.92+26.71)*2.5</f>
        <v>1878.9750000000004</v>
      </c>
      <c r="F48" s="82"/>
      <c r="I48" s="9"/>
      <c r="K48" s="9"/>
    </row>
    <row r="49" spans="1:11" ht="51.75" customHeight="1">
      <c r="A49" s="140"/>
      <c r="B49" s="155"/>
      <c r="C49" s="140"/>
      <c r="D49" s="37" t="s">
        <v>151</v>
      </c>
      <c r="E49" s="71">
        <f>(56.55+10.41+5.29+33.92)*2</f>
        <v>212.34</v>
      </c>
      <c r="F49" s="83"/>
      <c r="I49" s="9"/>
      <c r="K49" s="9"/>
    </row>
    <row r="50" spans="1:11" ht="64.5" customHeight="1">
      <c r="A50" s="140"/>
      <c r="B50" s="28" t="s">
        <v>148</v>
      </c>
      <c r="C50" s="140"/>
      <c r="D50" s="37" t="s">
        <v>150</v>
      </c>
      <c r="E50" s="71">
        <f>(29.17+143.6+9.84+13.85+120.15+12.59+12.08)*2.5</f>
        <v>853.1999999999999</v>
      </c>
      <c r="F50" s="82">
        <f>SUM(E48:E53)</f>
        <v>3985.335</v>
      </c>
      <c r="I50" s="9"/>
      <c r="K50" s="9"/>
    </row>
    <row r="51" spans="1:11" ht="54" customHeight="1">
      <c r="A51" s="140"/>
      <c r="B51" s="28" t="s">
        <v>149</v>
      </c>
      <c r="C51" s="140"/>
      <c r="D51" s="57" t="s">
        <v>152</v>
      </c>
      <c r="E51" s="71">
        <f>(50.59+10.84+85.88+7.72+56.05+106.68)*2</f>
        <v>635.52</v>
      </c>
      <c r="F51" s="83"/>
      <c r="I51" s="9"/>
      <c r="K51" s="9"/>
    </row>
    <row r="52" spans="1:11" ht="54" customHeight="1">
      <c r="A52" s="140"/>
      <c r="B52" s="28" t="s">
        <v>153</v>
      </c>
      <c r="C52" s="140"/>
      <c r="D52" s="57" t="s">
        <v>155</v>
      </c>
      <c r="E52" s="71">
        <f>(35.63+32.63+38.88+13.14)*2</f>
        <v>240.56000000000003</v>
      </c>
      <c r="F52" s="83"/>
      <c r="I52" s="9"/>
      <c r="K52" s="9"/>
    </row>
    <row r="53" spans="1:11" ht="54" customHeight="1">
      <c r="A53" s="140"/>
      <c r="B53" s="28" t="s">
        <v>154</v>
      </c>
      <c r="C53" s="140"/>
      <c r="D53" s="57" t="s">
        <v>156</v>
      </c>
      <c r="E53" s="71">
        <f>(12.76+16.16+8.51+9.4+20.25+9.03+6.26)*2</f>
        <v>164.74</v>
      </c>
      <c r="F53" s="83"/>
      <c r="I53" s="9"/>
      <c r="K53" s="9"/>
    </row>
    <row r="54" spans="1:6" ht="15">
      <c r="A54" s="140"/>
      <c r="B54" s="140"/>
      <c r="C54" s="140"/>
      <c r="D54" s="140"/>
      <c r="E54" s="140"/>
      <c r="F54" s="140"/>
    </row>
    <row r="55" spans="1:6" ht="15.75">
      <c r="A55" s="98">
        <v>4</v>
      </c>
      <c r="B55" s="142" t="s">
        <v>52</v>
      </c>
      <c r="C55" s="142"/>
      <c r="D55" s="142"/>
      <c r="E55" s="142"/>
      <c r="F55" s="142"/>
    </row>
    <row r="56" spans="1:6" ht="60">
      <c r="A56" s="137" t="s">
        <v>43</v>
      </c>
      <c r="B56" s="28" t="s">
        <v>54</v>
      </c>
      <c r="C56" s="137" t="s">
        <v>0</v>
      </c>
      <c r="D56" s="138" t="s">
        <v>81</v>
      </c>
      <c r="E56" s="139"/>
      <c r="F56" s="85"/>
    </row>
    <row r="57" spans="1:6" ht="19.5" customHeight="1">
      <c r="A57" s="137"/>
      <c r="B57" s="28" t="s">
        <v>95</v>
      </c>
      <c r="C57" s="137"/>
      <c r="D57" s="36" t="s">
        <v>113</v>
      </c>
      <c r="E57" s="86">
        <v>64</v>
      </c>
      <c r="F57" s="87">
        <f>E57+E58</f>
        <v>120</v>
      </c>
    </row>
    <row r="58" spans="1:6" ht="19.5" customHeight="1">
      <c r="A58" s="137"/>
      <c r="B58" s="28" t="s">
        <v>95</v>
      </c>
      <c r="C58" s="137"/>
      <c r="D58" s="36" t="s">
        <v>112</v>
      </c>
      <c r="E58" s="58">
        <v>56</v>
      </c>
      <c r="F58" s="88"/>
    </row>
    <row r="59" spans="1:6" ht="60">
      <c r="A59" s="137" t="s">
        <v>44</v>
      </c>
      <c r="B59" s="28" t="s">
        <v>105</v>
      </c>
      <c r="C59" s="137" t="s">
        <v>0</v>
      </c>
      <c r="D59" s="138" t="s">
        <v>81</v>
      </c>
      <c r="E59" s="139"/>
      <c r="F59" s="89">
        <f>E60</f>
        <v>323.52</v>
      </c>
    </row>
    <row r="60" spans="1:6" ht="30">
      <c r="A60" s="137"/>
      <c r="B60" s="28" t="s">
        <v>95</v>
      </c>
      <c r="C60" s="137"/>
      <c r="D60" s="37" t="s">
        <v>109</v>
      </c>
      <c r="E60" s="58">
        <f>64.65+64.65+45.76+91.52+56.94</f>
        <v>323.52</v>
      </c>
      <c r="F60" s="90"/>
    </row>
    <row r="61" spans="1:6" ht="75">
      <c r="A61" s="137" t="s">
        <v>45</v>
      </c>
      <c r="B61" s="28" t="s">
        <v>106</v>
      </c>
      <c r="C61" s="137" t="s">
        <v>48</v>
      </c>
      <c r="D61" s="138" t="s">
        <v>81</v>
      </c>
      <c r="E61" s="139"/>
      <c r="F61" s="89">
        <f>E62</f>
        <v>5</v>
      </c>
    </row>
    <row r="62" spans="1:6" ht="19.5" customHeight="1">
      <c r="A62" s="137"/>
      <c r="B62" s="28" t="s">
        <v>95</v>
      </c>
      <c r="C62" s="137"/>
      <c r="D62" s="58" t="s">
        <v>110</v>
      </c>
      <c r="E62" s="38">
        <v>5</v>
      </c>
      <c r="F62" s="91"/>
    </row>
    <row r="63" spans="1:6" ht="45">
      <c r="A63" s="137" t="s">
        <v>47</v>
      </c>
      <c r="B63" s="28" t="s">
        <v>56</v>
      </c>
      <c r="C63" s="137" t="s">
        <v>48</v>
      </c>
      <c r="D63" s="138" t="s">
        <v>81</v>
      </c>
      <c r="E63" s="139"/>
      <c r="F63" s="89">
        <f>E64</f>
        <v>12</v>
      </c>
    </row>
    <row r="64" spans="1:6" ht="19.5" customHeight="1">
      <c r="A64" s="137"/>
      <c r="B64" s="28" t="s">
        <v>95</v>
      </c>
      <c r="C64" s="137"/>
      <c r="D64" s="58" t="s">
        <v>111</v>
      </c>
      <c r="E64" s="58">
        <v>12</v>
      </c>
      <c r="F64" s="88"/>
    </row>
    <row r="65" spans="1:6" ht="15">
      <c r="A65" s="48"/>
      <c r="B65" s="47"/>
      <c r="C65" s="48"/>
      <c r="D65" s="49"/>
      <c r="E65" s="49"/>
      <c r="F65" s="49"/>
    </row>
    <row r="66" spans="1:6" ht="15">
      <c r="A66" s="100" t="s">
        <v>165</v>
      </c>
      <c r="B66" s="100"/>
      <c r="C66" s="100"/>
      <c r="D66" s="100"/>
      <c r="E66" s="100"/>
      <c r="F66" s="100"/>
    </row>
    <row r="67" spans="1:6" ht="15">
      <c r="A67" s="100"/>
      <c r="B67" s="100"/>
      <c r="C67" s="100"/>
      <c r="D67" s="100"/>
      <c r="E67" s="100"/>
      <c r="F67" s="100"/>
    </row>
    <row r="68" spans="1:6" ht="18.75" customHeight="1">
      <c r="A68" s="100" t="s">
        <v>120</v>
      </c>
      <c r="B68" s="100"/>
      <c r="C68" s="100"/>
      <c r="D68" s="100"/>
      <c r="E68" s="100"/>
      <c r="F68" s="100"/>
    </row>
    <row r="69" spans="1:6" ht="15">
      <c r="A69" s="100" t="s">
        <v>119</v>
      </c>
      <c r="B69" s="100"/>
      <c r="C69" s="100"/>
      <c r="D69" s="100"/>
      <c r="E69" s="100"/>
      <c r="F69" s="100"/>
    </row>
    <row r="70" spans="1:6" ht="15">
      <c r="A70" s="100" t="s">
        <v>121</v>
      </c>
      <c r="B70" s="100"/>
      <c r="C70" s="100"/>
      <c r="D70" s="100"/>
      <c r="E70" s="100"/>
      <c r="F70" s="100"/>
    </row>
    <row r="71" spans="1:6" ht="15">
      <c r="A71" s="8"/>
      <c r="B71" s="100"/>
      <c r="C71" s="100"/>
      <c r="D71" s="100"/>
      <c r="E71" s="45"/>
      <c r="F71" s="45"/>
    </row>
    <row r="72" spans="1:6" ht="15">
      <c r="A72" s="8"/>
      <c r="B72" s="34"/>
      <c r="C72" s="35"/>
      <c r="D72" s="35"/>
      <c r="E72" s="45"/>
      <c r="F72" s="45"/>
    </row>
    <row r="73" spans="1:6" ht="15">
      <c r="A73" s="8"/>
      <c r="B73" s="100"/>
      <c r="C73" s="100"/>
      <c r="D73" s="100"/>
      <c r="E73" s="45"/>
      <c r="F73" s="45"/>
    </row>
  </sheetData>
  <sheetProtection/>
  <mergeCells count="45">
    <mergeCell ref="D56:E56"/>
    <mergeCell ref="B27:F27"/>
    <mergeCell ref="C56:C58"/>
    <mergeCell ref="A47:A53"/>
    <mergeCell ref="C47:C53"/>
    <mergeCell ref="D47:E47"/>
    <mergeCell ref="B48:B49"/>
    <mergeCell ref="A35:A40"/>
    <mergeCell ref="A54:F54"/>
    <mergeCell ref="A56:A58"/>
    <mergeCell ref="A28:A34"/>
    <mergeCell ref="A1:F5"/>
    <mergeCell ref="A7:F7"/>
    <mergeCell ref="A8:F8"/>
    <mergeCell ref="A6:F6"/>
    <mergeCell ref="B11:F11"/>
    <mergeCell ref="A21:F21"/>
    <mergeCell ref="A26:F26"/>
    <mergeCell ref="C41:C46"/>
    <mergeCell ref="D41:E41"/>
    <mergeCell ref="D9:E9"/>
    <mergeCell ref="D28:D29"/>
    <mergeCell ref="B22:F22"/>
    <mergeCell ref="D35:E35"/>
    <mergeCell ref="C35:C40"/>
    <mergeCell ref="C28:C34"/>
    <mergeCell ref="A41:A46"/>
    <mergeCell ref="B10:F10"/>
    <mergeCell ref="B73:D73"/>
    <mergeCell ref="B55:F55"/>
    <mergeCell ref="A61:A62"/>
    <mergeCell ref="C61:C62"/>
    <mergeCell ref="B71:D71"/>
    <mergeCell ref="D59:E59"/>
    <mergeCell ref="D61:E61"/>
    <mergeCell ref="A66:F66"/>
    <mergeCell ref="A67:F67"/>
    <mergeCell ref="A68:F68"/>
    <mergeCell ref="A70:F70"/>
    <mergeCell ref="A69:F69"/>
    <mergeCell ref="C59:C60"/>
    <mergeCell ref="A63:A64"/>
    <mergeCell ref="C63:C64"/>
    <mergeCell ref="A59:A60"/>
    <mergeCell ref="D63:E63"/>
  </mergeCells>
  <printOptions horizontalCentered="1"/>
  <pageMargins left="0.7086614173228347" right="0.3937007874015748" top="0.3937007874015748" bottom="0.3937007874015748" header="0" footer="0"/>
  <pageSetup fitToHeight="3" fitToWidth="1" horizontalDpi="600" verticalDpi="600" orientation="portrait" paperSize="9" scale="76" r:id="rId1"/>
  <headerFooter>
    <oddFooter>&amp;CPágina &amp;P de &amp;N</oddFooter>
  </headerFooter>
  <rowBreaks count="1" manualBreakCount="1">
    <brk id="4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LICITACAO</cp:lastModifiedBy>
  <cp:lastPrinted>2018-10-31T10:42:43Z</cp:lastPrinted>
  <dcterms:created xsi:type="dcterms:W3CDTF">2009-01-22T17:07:44Z</dcterms:created>
  <dcterms:modified xsi:type="dcterms:W3CDTF">2018-10-31T13:05:51Z</dcterms:modified>
  <cp:category/>
  <cp:version/>
  <cp:contentType/>
  <cp:contentStatus/>
</cp:coreProperties>
</file>